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4835" windowHeight="8310" tabRatio="946" activeTab="2"/>
  </bookViews>
  <sheets>
    <sheet name="Sheet7" sheetId="1" r:id="rId1"/>
    <sheet name="หมายเหตุ 1" sheetId="2" r:id="rId2"/>
    <sheet name="หมายเหตุ 2" sheetId="3" r:id="rId3"/>
    <sheet name="หมายเหตุ3" sheetId="4" r:id="rId4"/>
    <sheet name="หมายเหตุ 4" sheetId="5" r:id="rId5"/>
    <sheet name="หมายเหตุ5" sheetId="6" r:id="rId6"/>
    <sheet name="5 (1)" sheetId="7" r:id="rId7"/>
    <sheet name="หมายเหตุ6" sheetId="8" r:id="rId8"/>
    <sheet name="ค้างจ่ายใหม่" sheetId="9" r:id="rId9"/>
    <sheet name="หมายเหตุ7" sheetId="10" r:id="rId10"/>
    <sheet name="หมายเหตุ 8" sheetId="11" r:id="rId11"/>
    <sheet name="งบทดลอง" sheetId="12" r:id="rId12"/>
    <sheet name="ทดลองหลังปิด" sheetId="13" r:id="rId13"/>
    <sheet name="งบรับ-จ่าย" sheetId="14" r:id="rId14"/>
    <sheet name="รับฝาก" sheetId="15" r:id="rId15"/>
    <sheet name="รับใหม่" sheetId="16" r:id="rId16"/>
    <sheet name="รับ-จ่ายจริง" sheetId="17" r:id="rId17"/>
    <sheet name="ปรับขนาด" sheetId="18" r:id="rId18"/>
    <sheet name="แสดงฐานะการเงิน" sheetId="19" r:id="rId19"/>
    <sheet name="งบแสดงฐานะการเงินใหม่" sheetId="20" r:id="rId20"/>
    <sheet name="Sheet5" sheetId="21" r:id="rId21"/>
    <sheet name="ทรัพย์สิน 2" sheetId="22" r:id="rId22"/>
    <sheet name="งบทรัพย์สิน" sheetId="23" r:id="rId23"/>
    <sheet name="กระดาษทำการ" sheetId="24" r:id="rId24"/>
    <sheet name="กระดาษทำการกระทบยอด" sheetId="25" r:id="rId25"/>
    <sheet name="กระแส" sheetId="26" r:id="rId26"/>
    <sheet name="ออมทรัพย์" sheetId="27" r:id="rId27"/>
    <sheet name="ประจำ" sheetId="28" r:id="rId28"/>
    <sheet name="เศรฐกิจชุมชน" sheetId="29" r:id="rId29"/>
  </sheets>
  <externalReferences>
    <externalReference r:id="rId32"/>
  </externalReferences>
  <definedNames>
    <definedName name="_xlnm.Print_Area" localSheetId="0">'Sheet7'!$A$1:$E$34</definedName>
    <definedName name="_xlnm.Print_Area" localSheetId="23">'กระดาษทำการ'!$A$1:$J$48</definedName>
    <definedName name="_xlnm.Print_Area" localSheetId="8">'ค้างจ่ายใหม่'!$A$1:$F$25</definedName>
    <definedName name="_xlnm.Print_Area" localSheetId="11">'งบทดลอง'!$A$1:$D$41</definedName>
    <definedName name="_xlnm.Print_Area" localSheetId="22">'งบทรัพย์สิน'!$A$1:$H$34</definedName>
    <definedName name="_xlnm.Print_Area" localSheetId="13">'งบรับ-จ่าย'!$A$1:$F$92</definedName>
    <definedName name="_xlnm.Print_Area" localSheetId="12">'ทดลองหลังปิด'!$A$1:$D$39</definedName>
    <definedName name="_xlnm.Print_Area" localSheetId="16">'รับ-จ่ายจริง'!$A$1:$F$72</definedName>
    <definedName name="_xlnm.Print_Area" localSheetId="14">'รับฝาก'!$A$1:$E$46</definedName>
    <definedName name="_xlnm.Print_Area" localSheetId="15">'รับใหม่'!$A$1:$E$46</definedName>
    <definedName name="_xlnm.Print_Area" localSheetId="18">'แสดงฐานะการเงิน'!$A$1:$D$35</definedName>
    <definedName name="_xlnm.Print_Area" localSheetId="4">'หมายเหตุ 4'!$A$1:$G$26</definedName>
    <definedName name="_xlnm.Print_Area" localSheetId="10">'หมายเหตุ 8'!$A$1:$F$31</definedName>
    <definedName name="_xlnm.Print_Area" localSheetId="7">'หมายเหตุ6'!$A$1:$C$33</definedName>
    <definedName name="_xlnm.Print_Area" localSheetId="9">'หมายเหตุ7'!$A$1:$C$33</definedName>
    <definedName name="_xlnm.Print_Titles" localSheetId="23">'กระดาษทำการ'!$1:$5</definedName>
    <definedName name="_xlnm.Print_Titles" localSheetId="22">'งบทรัพย์สิน'!$1:$5</definedName>
  </definedNames>
  <calcPr fullCalcOnLoad="1"/>
</workbook>
</file>

<file path=xl/comments7.xml><?xml version="1.0" encoding="utf-8"?>
<comments xmlns="http://schemas.openxmlformats.org/spreadsheetml/2006/main">
  <authors>
    <author>CasperX</author>
  </authors>
  <commentList>
    <comment ref="A8" authorId="0">
      <text>
        <r>
          <rPr>
            <b/>
            <sz val="8"/>
            <rFont val="Tahoma"/>
            <family val="0"/>
          </rPr>
          <t>CasperX: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<sst xmlns="http://schemas.openxmlformats.org/spreadsheetml/2006/main" count="2097" uniqueCount="822">
  <si>
    <t>องค์การบริหารส่วนตำบลบ้านใหม่</t>
  </si>
  <si>
    <t>จึงถึงปัจจุบัน</t>
  </si>
  <si>
    <t>ประมาณการ</t>
  </si>
  <si>
    <t>บาท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</si>
  <si>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</si>
  <si>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</si>
  <si>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</si>
  <si>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</si>
  <si>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</si>
  <si>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</si>
  <si>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</si>
  <si>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</si>
  <si>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</si>
  <si>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</si>
  <si>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</si>
  <si>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</si>
  <si>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</si>
  <si>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</si>
  <si>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รายงาน   รับ - จ่าย   เงินสด</t>
  </si>
  <si>
    <t>0100</t>
  </si>
  <si>
    <t>0200</t>
  </si>
  <si>
    <t>0250</t>
  </si>
  <si>
    <t>0300</t>
  </si>
  <si>
    <t>0350</t>
  </si>
  <si>
    <t>1000</t>
  </si>
  <si>
    <t>2000</t>
  </si>
  <si>
    <t>0120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</si>
  <si>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</si>
  <si>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</si>
  <si>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</si>
  <si>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</si>
  <si>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</si>
  <si>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</si>
  <si>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</si>
  <si>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</si>
  <si>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</si>
  <si>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</si>
  <si>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สูงกว่า</t>
  </si>
  <si>
    <t>ยอดยกไป</t>
  </si>
  <si>
    <t>200</t>
  </si>
  <si>
    <t>250</t>
  </si>
  <si>
    <t>270</t>
  </si>
  <si>
    <t>300</t>
  </si>
  <si>
    <t>400</t>
  </si>
  <si>
    <t>450</t>
  </si>
  <si>
    <t>500</t>
  </si>
  <si>
    <t>งบทดลอง</t>
  </si>
  <si>
    <t>รหัสบัญชี</t>
  </si>
  <si>
    <t>เดบิท</t>
  </si>
  <si>
    <t>เครดิต</t>
  </si>
  <si>
    <t>เงินฝากโครงการเศรษฐกิจชุมชน บัญชี 2 ธ.ธกส.</t>
  </si>
  <si>
    <t>รายจ่ายค้างจ่าย</t>
  </si>
  <si>
    <t>ภาษีหัก ณ ที่จ่าย</t>
  </si>
  <si>
    <t>รวม</t>
  </si>
  <si>
    <t>ลูกหนี้เงินกู้ยืมโครงการเศรษฐกิจชุมชน</t>
  </si>
  <si>
    <t>ค่าจ้างชั่วคราว</t>
  </si>
  <si>
    <t>เงินเดือนพนักงาน</t>
  </si>
  <si>
    <t>ลำดับที่</t>
  </si>
  <si>
    <t>จำนวนเงินค้างจ่าย</t>
  </si>
  <si>
    <t>รวมรายจ่ายค้างจ่าย</t>
  </si>
  <si>
    <t>รายจ่ายค้างจ่าย  มีรายละเอียด ดังนี้</t>
  </si>
  <si>
    <t>รายรับจริง</t>
  </si>
  <si>
    <t>รายรับตามประมาณการ</t>
  </si>
  <si>
    <t>รายรับ</t>
  </si>
  <si>
    <t>ค่าธรรมเนียม ค่าปรับและค่าใบอนุญาต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</si>
  <si>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</si>
  <si>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</t>
  </si>
  <si>
    <t>รวมรายรับทั้งสิ้น</t>
  </si>
  <si>
    <t>สูง (+)</t>
  </si>
  <si>
    <t>ต่ำ (-)</t>
  </si>
  <si>
    <t>รายจ่ายตามประมาณการ</t>
  </si>
  <si>
    <t>รวมรายจ่ายตามประมาณการรายจ่ายทั้งสิ้น</t>
  </si>
  <si>
    <t>รายจ่ายจริง</t>
  </si>
  <si>
    <t>000</t>
  </si>
  <si>
    <t>120</t>
  </si>
  <si>
    <t>จ่ายขาดเงินสะสม</t>
  </si>
  <si>
    <t>รวมรายจ่ายทั้งสิ้น</t>
  </si>
  <si>
    <t>เงินรับฝาก</t>
  </si>
  <si>
    <t>เงินรับฝาก  มีรายละเอียด ดังนี้</t>
  </si>
  <si>
    <t>รวมเงินรับฝาก</t>
  </si>
  <si>
    <t>งบแสดงฐานะการเงิน</t>
  </si>
  <si>
    <t>ทรัพย์สิน</t>
  </si>
  <si>
    <t>หนี้สินและเงินสะสม</t>
  </si>
  <si>
    <t>ประเภททรัพย์สิน</t>
  </si>
  <si>
    <t>ยกมาจาก</t>
  </si>
  <si>
    <t>งวดก่อน</t>
  </si>
  <si>
    <t>รับเพิ่ม</t>
  </si>
  <si>
    <t>งวดนี้</t>
  </si>
  <si>
    <t>จำหน่าย</t>
  </si>
  <si>
    <t>ยกไปงวด</t>
  </si>
  <si>
    <t>หน้า</t>
  </si>
  <si>
    <t>ทรัพย์สินเกิดจาก</t>
  </si>
  <si>
    <t>จำนวน</t>
  </si>
  <si>
    <t>-ที่ดิน</t>
  </si>
  <si>
    <t>-อาคาร</t>
  </si>
  <si>
    <t>ก. อสังหาริมทรัพย์</t>
  </si>
  <si>
    <t>ข. สังหาริมทรัพย์</t>
  </si>
  <si>
    <t>-ถนนและสิ่งก่อสร้างอื่น ๆ</t>
  </si>
  <si>
    <t>ก.  รายได้องค์การบริหารส่วนตำบล</t>
  </si>
  <si>
    <t>ข.  เงินอุดหนุนรัฐบาล</t>
  </si>
  <si>
    <t>ค.  โอนจากสภาตำบล</t>
  </si>
  <si>
    <t>ง.  ได้รับบริจาค</t>
  </si>
  <si>
    <t>จ.  เงินสะสม</t>
  </si>
  <si>
    <t>กระดาษทำการ</t>
  </si>
  <si>
    <t>ใบผ่านรายการบัญชีทั่วไป</t>
  </si>
  <si>
    <t>ใบผ่านรายการบัญชีมาตรฐาน</t>
  </si>
  <si>
    <t>หนี้สิน+เงินสะสม</t>
  </si>
  <si>
    <t>กระดาษทำการกระทบยอด</t>
  </si>
  <si>
    <t>แผนงาน</t>
  </si>
  <si>
    <t>หมวด/ประเภท</t>
  </si>
  <si>
    <t>00112</t>
  </si>
  <si>
    <t>00411</t>
  </si>
  <si>
    <t>รายจ่ายงบกลาง</t>
  </si>
  <si>
    <t>รวมเดือนนี้</t>
  </si>
  <si>
    <t>รวมแต่ต้นปี</t>
  </si>
  <si>
    <t>252  รายจ่ายเพื่อบำรุงรักษาหรือซ่อมแซมทรัพย์สิน</t>
  </si>
  <si>
    <t>271  วัสดุสำนักงาน</t>
  </si>
  <si>
    <t>273  วัสดุงานบ้านงานครัว</t>
  </si>
  <si>
    <t>274  วัสดุก่อสร้าง</t>
  </si>
  <si>
    <t>276  วัสดุเชื้อเพลิงและหล่อลื่น</t>
  </si>
  <si>
    <t>280  วัสดุเครื่องแต่งกาย</t>
  </si>
  <si>
    <t>301  ค่าไฟฟ้า</t>
  </si>
  <si>
    <t>303  ค่าโทรศัพท์</t>
  </si>
  <si>
    <t>305  ค่าบริการทางด้านโทรคมนาคม</t>
  </si>
  <si>
    <t>403  เงินอุดหนุนส่วนราชการ</t>
  </si>
  <si>
    <t>450  ค่าครุภัณฑ์</t>
  </si>
  <si>
    <t>516  ถนน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</si>
  <si>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</si>
  <si>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</si>
  <si>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</si>
  <si>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</si>
  <si>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</si>
  <si>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</si>
  <si>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</si>
  <si>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ค่าธรรมเนียมเกี่ยวกับใบอนุญาตเล่นการพนัน</t>
  </si>
  <si>
    <t>ค่าธรรมเนียมเกี่ยวกับการควบคุมอาคาร</t>
  </si>
  <si>
    <t>ค่าปรับการผิดสัญญา</t>
  </si>
  <si>
    <t>ค่าใบอนุญาตประกอบกิจการที่เป็นอันตรายต่อสุขภาพ</t>
  </si>
  <si>
    <t>ค่าใบอนุญาตเกี่ยวกับการควบคุมอาคาร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</si>
  <si>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</si>
  <si>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</si>
  <si>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</si>
  <si>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</si>
  <si>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</si>
  <si>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</si>
  <si>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</si>
  <si>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</si>
  <si>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</si>
  <si>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</si>
  <si>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ค่าปรับผู้กระทำความผิดกฎหมายและข้อบัญญัติท้องถิ่น</t>
  </si>
  <si>
    <t>หมวดรายได้จากทรัพย์สิน</t>
  </si>
  <si>
    <t>ดอกเบี้ยเงินฝากธนาคาร</t>
  </si>
  <si>
    <t>หมวดรายได้เบ็ดเตล็ด</t>
  </si>
  <si>
    <t>ค่าขายแปลน</t>
  </si>
  <si>
    <t>ค่ารับรองสำเนาและถ่ายเอกสาร</t>
  </si>
  <si>
    <t xml:space="preserve">รายได้เบ็ดเตล็ดอื่นๆ </t>
  </si>
  <si>
    <t>รายได้ที่รัฐบาลเก็บแล้วจัดสรรให้องค์การบริหารส่วนท้องถิ่น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</si>
  <si>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</si>
  <si>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</si>
  <si>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</si>
  <si>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</si>
  <si>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</si>
  <si>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ค่าธรรมเนียมป่าไม้</t>
  </si>
  <si>
    <t>ค่าภาคหลวงแร่</t>
  </si>
  <si>
    <t>ค่าภาคหลวงปิโตรเลียม</t>
  </si>
  <si>
    <t>เงินโอนจัดสรรจากกรมทรัพยากรธรรมชาติ</t>
  </si>
  <si>
    <t>รายได้ที่รัฐบาลอุดหนุนให้องค์กรปกครองส่วนท้องถิ่น</t>
  </si>
  <si>
    <t>หมวดเงินอุดหนุน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</si>
  <si>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</si>
  <si>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</si>
  <si>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</si>
  <si>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0101</t>
  </si>
  <si>
    <t>0102</t>
  </si>
  <si>
    <t>0103</t>
  </si>
  <si>
    <t>0122</t>
  </si>
  <si>
    <t>0123</t>
  </si>
  <si>
    <t>0125</t>
  </si>
  <si>
    <t>0203</t>
  </si>
  <si>
    <t>0302</t>
  </si>
  <si>
    <t>0305</t>
  </si>
  <si>
    <t>0307</t>
  </si>
  <si>
    <t>1001</t>
  </si>
  <si>
    <t>1002</t>
  </si>
  <si>
    <t>1004</t>
  </si>
  <si>
    <t>1005</t>
  </si>
  <si>
    <t>1006</t>
  </si>
  <si>
    <t>1010</t>
  </si>
  <si>
    <t>1011</t>
  </si>
  <si>
    <t>งบทรัพย์สิน</t>
  </si>
  <si>
    <t>รวมเงิน</t>
  </si>
  <si>
    <t>เงินฝากธนาคาร</t>
  </si>
  <si>
    <t>บวก</t>
  </si>
  <si>
    <t>เงินฝากธนาคาร  มีรายละเอียด ดังนี้</t>
  </si>
  <si>
    <t>รวมเงินฝากธนาคาร</t>
  </si>
  <si>
    <t xml:space="preserve">ทรัพย์สินตามงบทรัพย์สิน </t>
  </si>
  <si>
    <t>นายกองค์การบริหารส่วนตำบลบ้านใหม่</t>
  </si>
  <si>
    <t>-ครุภัณฑ์สำรวจ</t>
  </si>
  <si>
    <t>-ครุภัณฑ์วัสดุโฆษณาและเผยแพร่</t>
  </si>
  <si>
    <t>เงินทุนสำรองเงินสะสม</t>
  </si>
  <si>
    <t>ลูกหนี้โครงการเศรษฐกิจชุมชน</t>
  </si>
  <si>
    <t>ค่าธรรมเนียมเก็บและขนขยะมูลฝอย</t>
  </si>
  <si>
    <t>ค่าธรรมเนียมเก็บและขนอุจจาระหรือสิ่งปฏิกูล</t>
  </si>
  <si>
    <t>(11)</t>
  </si>
  <si>
    <t>ค่าจ้างลูกจ้างชั่วคราว</t>
  </si>
  <si>
    <t>รวมรายจ่าย</t>
  </si>
  <si>
    <t>ต่ำกว่า</t>
  </si>
  <si>
    <t>010</t>
  </si>
  <si>
    <t>022</t>
  </si>
  <si>
    <t>023</t>
  </si>
  <si>
    <t>ลูกหนี้-ภาษีบำรุงท้องที่</t>
  </si>
  <si>
    <t>082</t>
  </si>
  <si>
    <t>092</t>
  </si>
  <si>
    <t>100</t>
  </si>
  <si>
    <t>821</t>
  </si>
  <si>
    <t>700</t>
  </si>
  <si>
    <t>701</t>
  </si>
  <si>
    <t>600</t>
  </si>
  <si>
    <t>………………………………</t>
  </si>
  <si>
    <t>-ครุภัณฑ์คอมพิวเตอร์</t>
  </si>
  <si>
    <t>รายจ่ายตามงบประมาณ(จ่ายจากรายรับ)</t>
  </si>
  <si>
    <t>บริหารทั่วไป(00110)</t>
  </si>
  <si>
    <t>101  เงินเดือนพนักงาน</t>
  </si>
  <si>
    <t>102  ค่าจ้างชั่วคราว</t>
  </si>
  <si>
    <t>251  รายจ่ายเพื่อให้ได้มาซึ่งบริการ</t>
  </si>
  <si>
    <t>304  ค่าไปรษณีย์ฯ</t>
  </si>
  <si>
    <t>…………………………………….</t>
  </si>
  <si>
    <t>ค่าใบอนุญาตจำหน่ายสินค้าในที่สาธารณะ</t>
  </si>
  <si>
    <t>ค่าธรรมเนียมจดทะเบียนสิทธิและนิติกรรมฯ</t>
  </si>
  <si>
    <t>282  วัสดุคอมพิวเตอร์</t>
  </si>
  <si>
    <t>-สนามเด็กเล่น</t>
  </si>
  <si>
    <t>-สวนสุขภาพ</t>
  </si>
  <si>
    <t>-ลานกีฬา</t>
  </si>
  <si>
    <t>-ครุภัณฑ์สำนักงาน</t>
  </si>
  <si>
    <t>-ครุภัณฑ์เครื่องดับเพลิง</t>
  </si>
  <si>
    <t>-ครุภัณฑ์การเกษตร</t>
  </si>
  <si>
    <t>-ครุภัณฑ์ก่อสร้าง</t>
  </si>
  <si>
    <t>เงินฝากออมทรัพย์ ธ.กรุงไทย อัมพวัน</t>
  </si>
  <si>
    <t>เงินประโยชน์ตอบแทนอื่นเป็นกรณีพิเศษให้แก่พนักงาน</t>
  </si>
  <si>
    <t>201  เงินค่าป่วยการค่าตอบแทนคณะผู้บริหารและสมาชิก</t>
  </si>
  <si>
    <t>203 ค่าตอบแทนผู้ปฏิบัติราชการอันเป็นประโยชน์แก่ อบต.</t>
  </si>
  <si>
    <t>205 ค่าตอบแทนปฏิบัติงานนอกเวลาราชการ</t>
  </si>
  <si>
    <t>206 ค่าเช่าบ้าน</t>
  </si>
  <si>
    <t>207 เงินช่วยเหลือการศึกษาบุตร</t>
  </si>
  <si>
    <t>208 เงินช่วยเหลือค่ารักษาพยาบาล</t>
  </si>
  <si>
    <t>253  ราจ่ายเกี่ยวกับการรับรองและพิธีการ</t>
  </si>
  <si>
    <t>254  รายจ่ายเกี่ยวเนื่องกับการปฏิบัติราชการที่ไม่เข้าฯ</t>
  </si>
  <si>
    <t>-ครุภัณฑ์วิทยาศาสตร์หรือการแพทย์</t>
  </si>
  <si>
    <t>-ครุภัณฑ์งานบ้านงานครัว</t>
  </si>
  <si>
    <t>-ครุภัณฑ์ไฟฟ้าและวิทยุ</t>
  </si>
  <si>
    <t>-</t>
  </si>
  <si>
    <t>รายจ่ายรอจ่าย</t>
  </si>
  <si>
    <t>เงินอุดหนุนทั่วไป</t>
  </si>
  <si>
    <t>ลูกหนี้ค่าภาษีบำรุงท้องที่</t>
  </si>
  <si>
    <t>ลูกหนี้-เงินยืมเงินสะสม</t>
  </si>
  <si>
    <t>ปลัดองค์การบริหารส่วนตำบลบ้านใหม่</t>
  </si>
  <si>
    <t>แผนรักษาความ</t>
  </si>
  <si>
    <t>แผนการศึกษา</t>
  </si>
  <si>
    <t>แผนงานสาธารณสุข</t>
  </si>
  <si>
    <t>แผนงานสังคม</t>
  </si>
  <si>
    <t>แผนงานเคหะ</t>
  </si>
  <si>
    <t>แผนงานการเกษตร</t>
  </si>
  <si>
    <t>แผนงานงบกลาง</t>
  </si>
  <si>
    <t>สงบภายใน</t>
  </si>
  <si>
    <t>00210</t>
  </si>
  <si>
    <t>00220</t>
  </si>
  <si>
    <t>สงเคราะห์</t>
  </si>
  <si>
    <t>และชุมชน</t>
  </si>
  <si>
    <t>00111</t>
  </si>
  <si>
    <t>001  รายจ่ายตามข้อผูกพัน</t>
  </si>
  <si>
    <t>002  เงินสำรองจ่าย</t>
  </si>
  <si>
    <t>255  ค่าธรรมเนียมทิ้งขยะ</t>
  </si>
  <si>
    <t>272   วัสดุไฟฟ้าและวิทยุ</t>
  </si>
  <si>
    <t xml:space="preserve">275  วัสดุยานพาหนะและขนส่ง </t>
  </si>
  <si>
    <t>277  วัสดุวิทยาศาสตร์การแพทย์</t>
  </si>
  <si>
    <t>278  วัสดุการเกษตร</t>
  </si>
  <si>
    <t>281  วัสดุกีฬา</t>
  </si>
  <si>
    <t>283  วัสดุการศึกษา</t>
  </si>
  <si>
    <t xml:space="preserve"> </t>
  </si>
  <si>
    <t>จำนวนเงิน</t>
  </si>
  <si>
    <t>ภาษีมูลค่าเพิ่ม พรบ.</t>
  </si>
  <si>
    <t>ภาษีมูลค่าเพิ่ม 1 ใน 9</t>
  </si>
  <si>
    <t>1003</t>
  </si>
  <si>
    <t>- ครุภัณฑ์โรงงาน</t>
  </si>
  <si>
    <t>ค่าใบอนุญาตสะสมอาหาร</t>
  </si>
  <si>
    <t>วัสดุอื่นๆ  (อาหารเสริมนม)</t>
  </si>
  <si>
    <t>รวมรายจ่ายรอจ่าย</t>
  </si>
  <si>
    <t>จำนวนเงินรับฝาก</t>
  </si>
  <si>
    <t>เงินอุดหนุนเฉพาะกิจ (เบี้ยยังชีพผู้สูงอายุ)</t>
  </si>
  <si>
    <t>เงินอุดหนุนเฉพาะกิจ (เบี้ยยังชีพผู้พิการ)</t>
  </si>
  <si>
    <t>เงินฝากระหว่างทาง</t>
  </si>
  <si>
    <t>401</t>
  </si>
  <si>
    <t>402</t>
  </si>
  <si>
    <t>601</t>
  </si>
  <si>
    <t>รายรับรวมเงินอุดหนุนเฉพาะกิจ</t>
  </si>
  <si>
    <t>รายจ่ายรวมเงินอุดหนุนเฉพาะกิจ</t>
  </si>
  <si>
    <t>รวมเงินอุดหนุนเฉพาะกิจ</t>
  </si>
  <si>
    <t>รวมจ่ายเงินอุดหนุนเฉพาะกิจ</t>
  </si>
  <si>
    <t>ลูกหนี้-ภาษีโรงเรือนและที่ดิน</t>
  </si>
  <si>
    <t>284  วัสดุอื่น ๆ</t>
  </si>
  <si>
    <t>285  อาหารเสริม (นม)</t>
  </si>
  <si>
    <t>งบกระทบยอดเงินฝากธนาคาร</t>
  </si>
  <si>
    <t>เลขที่บัญชี  491 - 6 - 00033 - 1</t>
  </si>
  <si>
    <t>บวก : เงินฝากระหว่างทาง</t>
  </si>
  <si>
    <t>วัที่ลงบัญชี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</si>
  <si>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</si>
  <si>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</si>
  <si>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</si>
  <si>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</si>
  <si>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r>
      <t xml:space="preserve">บวก : หรือ </t>
    </r>
    <r>
      <rPr>
        <u val="single"/>
        <sz val="16"/>
        <rFont val="Angsana New"/>
        <family val="1"/>
      </rPr>
      <t>(หัก)</t>
    </r>
    <r>
      <rPr>
        <sz val="16"/>
        <rFont val="Angsana New"/>
        <family val="1"/>
      </rPr>
      <t xml:space="preserve"> รายการกระทบยอดอื่น ๆ</t>
    </r>
  </si>
  <si>
    <t xml:space="preserve"> รายละเอียด  </t>
  </si>
  <si>
    <t>เช็คที่อนุมัติแล้วผู้มีสิทธิยังไม่มารับ</t>
  </si>
  <si>
    <t>"</t>
  </si>
  <si>
    <t>ผู้จัดทำ</t>
  </si>
  <si>
    <t>ผู้ตรวจสอบ</t>
  </si>
  <si>
    <t>ตำแหน่ง เจ้าพนักงานการเงินและบัญชี</t>
  </si>
  <si>
    <t>เลขที่บัญชี  491 - 0 - 02926 - 5</t>
  </si>
  <si>
    <t>วันที่ลงบัญชี</t>
  </si>
  <si>
    <t>ธนาคารเพื่อการเกษตรและสหกรณ์การเกษตร</t>
  </si>
  <si>
    <t>เลขที่บัญชี  021 - 2 - 66035 - 6</t>
  </si>
  <si>
    <t xml:space="preserve"> -</t>
  </si>
  <si>
    <t>บวก : หรือ (หัก) รายการกระทบยอดอื่น ๆ</t>
  </si>
  <si>
    <t>รายละเอียด</t>
  </si>
  <si>
    <t>ณ  วันที่  30  กันยายน  2554</t>
  </si>
  <si>
    <t xml:space="preserve">เงินฝากออมทรัพย์  ธนาคารกรุงไทย  </t>
  </si>
  <si>
    <t>เงินฝากโครงการเศรษฐกิจชุมชน ธนาคาร ธกส.</t>
  </si>
  <si>
    <t>รวมรายจ่ายเงินอุดหนุนเฉพาะกิจระบุวัตถุประสงค์</t>
  </si>
  <si>
    <t>รวมรับเงินอุดหนุนเฉพาะกิจ</t>
  </si>
  <si>
    <t>0121</t>
  </si>
  <si>
    <t>0124</t>
  </si>
  <si>
    <t>0126</t>
  </si>
  <si>
    <t>0127</t>
  </si>
  <si>
    <t>0128</t>
  </si>
  <si>
    <t>0129</t>
  </si>
  <si>
    <t>0130</t>
  </si>
  <si>
    <t>0131</t>
  </si>
  <si>
    <t>ลูกหนี้ค้างชำระภาษีบำรุงท้องที่ ปี 2550</t>
  </si>
  <si>
    <t>ณ วันที่ 30 กันยายน พ.ศ. 2554</t>
  </si>
  <si>
    <t>ลำ</t>
  </si>
  <si>
    <t>ชื่อ</t>
  </si>
  <si>
    <t>นามสกุล</t>
  </si>
  <si>
    <t>ที่อยู่</t>
  </si>
  <si>
    <t>หมู่</t>
  </si>
  <si>
    <t>ตำบล</t>
  </si>
  <si>
    <t>อำเภอ</t>
  </si>
  <si>
    <t>จังหวัด</t>
  </si>
  <si>
    <t xml:space="preserve">ลูกหนี้ </t>
  </si>
  <si>
    <t>ดับ</t>
  </si>
  <si>
    <t>ทั้งสิ้น</t>
  </si>
  <si>
    <t>นางวาย</t>
  </si>
  <si>
    <t>แคล้วสูงเนิน</t>
  </si>
  <si>
    <t>บ้านใหม่</t>
  </si>
  <si>
    <t>เมือง</t>
  </si>
  <si>
    <t>นครราชสีมา</t>
  </si>
  <si>
    <t>นายสมศักดิ์</t>
  </si>
  <si>
    <t>ดีใหม่</t>
  </si>
  <si>
    <t>นางสุวรรณ</t>
  </si>
  <si>
    <t>ถิ่นรัตน์</t>
  </si>
  <si>
    <t>นายประเสริมศักดิ์</t>
  </si>
  <si>
    <t>นาลโคกสูง</t>
  </si>
  <si>
    <t>สุรนารี</t>
  </si>
  <si>
    <t>ทะเบียนลูกหนี้</t>
  </si>
  <si>
    <t>ลูกหนี้ค้างชำระภาษีบำรุงท้องที่  ปี  2551</t>
  </si>
  <si>
    <t>ณ วันที่ 30 กันยายน พ.ศ.2554</t>
  </si>
  <si>
    <t>นายจวน</t>
  </si>
  <si>
    <t>นิตย์ใหม่</t>
  </si>
  <si>
    <t>นางมะลิ</t>
  </si>
  <si>
    <t>เทพทอง</t>
  </si>
  <si>
    <t>ลูกหนี้ค้างชำระภาษีบำรุงท้องที่  ปี 2552</t>
  </si>
  <si>
    <t>นายบุญเลิศ</t>
  </si>
  <si>
    <t>นางสายทอง</t>
  </si>
  <si>
    <t>เสียงใหม่</t>
  </si>
  <si>
    <t>นายประเทือง</t>
  </si>
  <si>
    <t>แรงใหม่</t>
  </si>
  <si>
    <t>นายหมั่น</t>
  </si>
  <si>
    <t>ทั่วสูงเนิน</t>
  </si>
  <si>
    <t>นายถนอม</t>
  </si>
  <si>
    <t>ประสิทธิ์สุวรรณ</t>
  </si>
  <si>
    <t>น.ส.ปลั่ง</t>
  </si>
  <si>
    <t>สติใหม่</t>
  </si>
  <si>
    <t>นางประทุม</t>
  </si>
  <si>
    <t>ชาญสูงเนิน</t>
  </si>
  <si>
    <t>ลูกหนี้ค้างชำระภาษีบำรุงท้องที่  ปี 2553</t>
  </si>
  <si>
    <t>นายคอง</t>
  </si>
  <si>
    <t>โนนใหม่</t>
  </si>
  <si>
    <t>นายคง</t>
  </si>
  <si>
    <t>นายจีน</t>
  </si>
  <si>
    <t>กิ่งโคกกรวด</t>
  </si>
  <si>
    <t>นายเทียม</t>
  </si>
  <si>
    <t>นายชาญณรงค์</t>
  </si>
  <si>
    <t>นายเฉลิมศักดิ์</t>
  </si>
  <si>
    <t>นายลัด</t>
  </si>
  <si>
    <t>นางรัญจวน</t>
  </si>
  <si>
    <t>แจกเกาะ</t>
  </si>
  <si>
    <t>7/224</t>
  </si>
  <si>
    <t>นางสมจิตต์</t>
  </si>
  <si>
    <t>กองทอง</t>
  </si>
  <si>
    <t>นายมณเฑียร</t>
  </si>
  <si>
    <t>รัตนคีรีพันธ์</t>
  </si>
  <si>
    <t>1817/1</t>
  </si>
  <si>
    <t>ถ.สืบศิริ</t>
  </si>
  <si>
    <t>ในเมือง</t>
  </si>
  <si>
    <t>นวลโคกสูง</t>
  </si>
  <si>
    <t>นางสวาท</t>
  </si>
  <si>
    <t>นาสูงเนิน</t>
  </si>
  <si>
    <t>43/36 ม.10 แขวงแสมดำ เขตบางขุนเทียน กทม.10150</t>
  </si>
  <si>
    <t>นางละเอียด</t>
  </si>
  <si>
    <t>ทรงศิวิไล</t>
  </si>
  <si>
    <t>ขามทะเลสอ</t>
  </si>
  <si>
    <t>นางทองเจือ</t>
  </si>
  <si>
    <t>จีนจันทึก</t>
  </si>
  <si>
    <t>นายมะลิ</t>
  </si>
  <si>
    <t>กลโคกกรวด</t>
  </si>
  <si>
    <t>นางเลี่ยม</t>
  </si>
  <si>
    <t>สำเนียงใหม่</t>
  </si>
  <si>
    <t>นางชูชาติ</t>
  </si>
  <si>
    <t>เจียกโคกกรวด</t>
  </si>
  <si>
    <t>นางประเทือง</t>
  </si>
  <si>
    <t>38/3</t>
  </si>
  <si>
    <t>นางประนอม</t>
  </si>
  <si>
    <t>เขาโคกกรวด</t>
  </si>
  <si>
    <t>น.ส.เฉลา</t>
  </si>
  <si>
    <t>นองใหม่</t>
  </si>
  <si>
    <t>นางปลาบู่</t>
  </si>
  <si>
    <t>มิตรสูงเนิน</t>
  </si>
  <si>
    <t>นางนิตยา</t>
  </si>
  <si>
    <t>กูปโคกกรวด</t>
  </si>
  <si>
    <t>260/2</t>
  </si>
  <si>
    <t>นางจันทร์</t>
  </si>
  <si>
    <t>ขันโคกกรวด</t>
  </si>
  <si>
    <t>นายสวัสดิ์</t>
  </si>
  <si>
    <t>พงษ์ใหม่</t>
  </si>
  <si>
    <t>นางน้ำอาบ</t>
  </si>
  <si>
    <t>กราบทอง</t>
  </si>
  <si>
    <t>นางประยูร</t>
  </si>
  <si>
    <t>นางแป้น</t>
  </si>
  <si>
    <t>นายชลอ</t>
  </si>
  <si>
    <t>นายสิงห์</t>
  </si>
  <si>
    <t>นายมงคล</t>
  </si>
  <si>
    <t>พลใหม่</t>
  </si>
  <si>
    <t>นางชลอ</t>
  </si>
  <si>
    <t>ถนอมญาต</t>
  </si>
  <si>
    <t>52/2</t>
  </si>
  <si>
    <t>นางสุธีร์</t>
  </si>
  <si>
    <t>ประมูล</t>
  </si>
  <si>
    <t>42,44</t>
  </si>
  <si>
    <t xml:space="preserve">ซ.มุขมนตรี 22 </t>
  </si>
  <si>
    <t>นางสัมฤทธิ์</t>
  </si>
  <si>
    <t>เสริมใหม่</t>
  </si>
  <si>
    <t>นางศุภจิต</t>
  </si>
  <si>
    <t>สุทธะสิทธุ</t>
  </si>
  <si>
    <t>66/8 ถ.จรัญสนิทวงศ์ แขวงบ้านช่างหล่อ</t>
  </si>
  <si>
    <t>เขตบางกอกน้อย  กทม 10700</t>
  </si>
  <si>
    <t>น.ท.เจริญ</t>
  </si>
  <si>
    <t>เสนใหม่</t>
  </si>
  <si>
    <t>นายเจียม</t>
  </si>
  <si>
    <t>ขุมพลกรัง</t>
  </si>
  <si>
    <t>นางลำใย</t>
  </si>
  <si>
    <t>ลัดใหม่</t>
  </si>
  <si>
    <t>นายสมจิต</t>
  </si>
  <si>
    <t>ปัญญาปรุ</t>
  </si>
  <si>
    <t>นายสมพร</t>
  </si>
  <si>
    <t>รองในเมือง</t>
  </si>
  <si>
    <t>นายบุญร่วม</t>
  </si>
  <si>
    <t>โนใหม่</t>
  </si>
  <si>
    <t>นางสมควร</t>
  </si>
  <si>
    <t>เคยพุดซา</t>
  </si>
  <si>
    <t>ถ.เดชอุดม</t>
  </si>
  <si>
    <t>นางอุไร</t>
  </si>
  <si>
    <t>เคนหล้า</t>
  </si>
  <si>
    <t>วังตะเคียน</t>
  </si>
  <si>
    <t>กบินทร์บุรี</t>
  </si>
  <si>
    <t>ปราจีนบุรี</t>
  </si>
  <si>
    <t>นางสมปอง</t>
  </si>
  <si>
    <t>มรกฎเมืองปัก</t>
  </si>
  <si>
    <t>นางสำรอง</t>
  </si>
  <si>
    <t>รุ่นใหม่</t>
  </si>
  <si>
    <t>โคกกรวด</t>
  </si>
  <si>
    <t>นางแสงอรุณ</t>
  </si>
  <si>
    <t>ศรีพนม</t>
  </si>
  <si>
    <t>นางเฟี้ยม</t>
  </si>
  <si>
    <t>อนุกูล</t>
  </si>
  <si>
    <t>นายประทุม</t>
  </si>
  <si>
    <t>ลูกหนี้ค้างชำระภาษีบำรุงท้องที่  ปี 2554</t>
  </si>
  <si>
    <t>นายเติม</t>
  </si>
  <si>
    <t>กฐินใหม่</t>
  </si>
  <si>
    <t>นางพินธุ</t>
  </si>
  <si>
    <t>กองพรหมราช</t>
  </si>
  <si>
    <t>นายวาย</t>
  </si>
  <si>
    <t>นางศรีนวล</t>
  </si>
  <si>
    <t>ยาสมุทร</t>
  </si>
  <si>
    <t>นางอิ่ม</t>
  </si>
  <si>
    <t>ชัยพันธ์</t>
  </si>
  <si>
    <t>นายพิเชษฐ์</t>
  </si>
  <si>
    <t>เลาหะเกริกเกียรติ</t>
  </si>
  <si>
    <t>7/22</t>
  </si>
  <si>
    <t>เจนพนัส</t>
  </si>
  <si>
    <t>นางจิดาภา</t>
  </si>
  <si>
    <t>ถ้ำพุดซา</t>
  </si>
  <si>
    <t>นางสุกัญญา</t>
  </si>
  <si>
    <t>ดุมใหม่</t>
  </si>
  <si>
    <t>นางริม</t>
  </si>
  <si>
    <t>ชีใหม่</t>
  </si>
  <si>
    <t>นางเอื้อน</t>
  </si>
  <si>
    <t>แผลงสูงเนิน</t>
  </si>
  <si>
    <t>นางเจียว</t>
  </si>
  <si>
    <t>เพียงใหม่</t>
  </si>
  <si>
    <t>นายสุภณ</t>
  </si>
  <si>
    <t>นางเฉลิม</t>
  </si>
  <si>
    <t>สุขใหม่</t>
  </si>
  <si>
    <t>นางหรีด</t>
  </si>
  <si>
    <t>นายประจวบ</t>
  </si>
  <si>
    <t>นาคใหม่</t>
  </si>
  <si>
    <t>นายย้อย</t>
  </si>
  <si>
    <t>เจนหัต</t>
  </si>
  <si>
    <t>นางสีเหลือบ</t>
  </si>
  <si>
    <t>สายใหม่</t>
  </si>
  <si>
    <t>นายสมชาย</t>
  </si>
  <si>
    <t>เรือนใหม่</t>
  </si>
  <si>
    <t>นางอำนวยพร</t>
  </si>
  <si>
    <t>เรียงใหม่</t>
  </si>
  <si>
    <t>95/2</t>
  </si>
  <si>
    <t>นางสายหยุด</t>
  </si>
  <si>
    <t>นางเกษร</t>
  </si>
  <si>
    <t>โชคกระโทก</t>
  </si>
  <si>
    <t>นางบุญช่วย</t>
  </si>
  <si>
    <t>มากคง</t>
  </si>
  <si>
    <t>นางปรียา</t>
  </si>
  <si>
    <t>จ้อยสูงเนิน</t>
  </si>
  <si>
    <t>นายเกิด</t>
  </si>
  <si>
    <t>นัดสันเทียะ</t>
  </si>
  <si>
    <t>นายทองพูน</t>
  </si>
  <si>
    <t>พิมพ์ปรุ</t>
  </si>
  <si>
    <t>นายแนะ</t>
  </si>
  <si>
    <t>รวมใหม่</t>
  </si>
  <si>
    <t>นางประมวล</t>
  </si>
  <si>
    <t>บุญทัน</t>
  </si>
  <si>
    <t>นายสมัย</t>
  </si>
  <si>
    <t>ส้มจะบก</t>
  </si>
  <si>
    <t>นางสมหมาย</t>
  </si>
  <si>
    <t>ชาลีเครือ</t>
  </si>
  <si>
    <t>นางรถ</t>
  </si>
  <si>
    <t>นายอนันต์</t>
  </si>
  <si>
    <t>นางเนย</t>
  </si>
  <si>
    <t>กฤษณะสุวรรณ</t>
  </si>
  <si>
    <t>นางรสสุคนธ์</t>
  </si>
  <si>
    <t>ขันธการุณวงศ์</t>
  </si>
  <si>
    <t>ลูกหนี้ตามสัญญาเงินทุนโครงการเศรษฐกิจชุมชน</t>
  </si>
  <si>
    <t>ลำดับ</t>
  </si>
  <si>
    <t>เลขที่สัญญา</t>
  </si>
  <si>
    <t>ชื่อ - นามสกุล</t>
  </si>
  <si>
    <t>กลุ่ม</t>
  </si>
  <si>
    <t>หมู่ที่</t>
  </si>
  <si>
    <t>จำนวนเงินทั้งสิ้น</t>
  </si>
  <si>
    <t>2/2544</t>
  </si>
  <si>
    <t>จุลศรี</t>
  </si>
  <si>
    <t>เกษตรกรหัวสิบ</t>
  </si>
  <si>
    <t>3/2544</t>
  </si>
  <si>
    <t>สิบเอกถาวร</t>
  </si>
  <si>
    <t>ธาตุชัย</t>
  </si>
  <si>
    <t>ข้าวหอมประทุม 1</t>
  </si>
  <si>
    <t>5/2544</t>
  </si>
  <si>
    <t>นายสุรพจน์</t>
  </si>
  <si>
    <t>เกียรติทศดล</t>
  </si>
  <si>
    <t>เกษตรพัฒนา 2</t>
  </si>
  <si>
    <t>8/2544</t>
  </si>
  <si>
    <t>นางละมัย</t>
  </si>
  <si>
    <t>ชุ่มขุนทด</t>
  </si>
  <si>
    <t>ค้าขายทั่วไป</t>
  </si>
  <si>
    <t>14/2544</t>
  </si>
  <si>
    <t>นางสาวนงลักษณ์</t>
  </si>
  <si>
    <t>โครงการเกษตรปลูกนาบัว</t>
  </si>
  <si>
    <t>16/2544</t>
  </si>
  <si>
    <t>โพรงขุนทด</t>
  </si>
  <si>
    <t>ร้อยพวงมาลัย</t>
  </si>
  <si>
    <t>18/2544</t>
  </si>
  <si>
    <t>นายสมบูรณ์</t>
  </si>
  <si>
    <t>ศิริปรุ</t>
  </si>
  <si>
    <t>อาชีพค้าขายทั่วไป</t>
  </si>
  <si>
    <t>20/2544</t>
  </si>
  <si>
    <t>นายเลี่ยม</t>
  </si>
  <si>
    <t>เกลื่อนกลาง</t>
  </si>
  <si>
    <t>อาชีพอิสระพัฒนา</t>
  </si>
  <si>
    <t>21/2544</t>
  </si>
  <si>
    <t>นางจรรยา</t>
  </si>
  <si>
    <t>เกษตรกรบ้านสำโรงเหนือ</t>
  </si>
  <si>
    <t>2/2551</t>
  </si>
  <si>
    <t>นางสมหวัง</t>
  </si>
  <si>
    <t>ดุมภ์ใหม่</t>
  </si>
  <si>
    <t>ส่งเสริมอาชีพแม่บ้าน</t>
  </si>
  <si>
    <t xml:space="preserve">                     ...................................................</t>
  </si>
  <si>
    <t xml:space="preserve">                    (นางธัญญลักษณ์  นรินทร์วรกาล)</t>
  </si>
  <si>
    <t>รายชื่อลูกหนี้ค้างชำระภาษีโรงเรือนและที่ดิน</t>
  </si>
  <si>
    <t>( ข้อมูล  ณ  วันที่  30  กันยายน  2554)</t>
  </si>
  <si>
    <t>ชื่อ   -  สกุล</t>
  </si>
  <si>
    <t>ปี พ.ศ.</t>
  </si>
  <si>
    <t>หมายเหตุ</t>
  </si>
  <si>
    <t>สต.</t>
  </si>
  <si>
    <t>นางสุรัตน์</t>
  </si>
  <si>
    <t>อนันกะสะ</t>
  </si>
  <si>
    <t>วิทยาลัยนครราชสีมา</t>
  </si>
  <si>
    <t>รวม  2  ราย</t>
  </si>
  <si>
    <t>รวม  3  ราย</t>
  </si>
  <si>
    <t>รวมทั้งสิ้น</t>
  </si>
  <si>
    <t xml:space="preserve"> ...........................................................</t>
  </si>
  <si>
    <t xml:space="preserve">                       (นางสาวสุรีย์  พิมพ์ปรุ)</t>
  </si>
  <si>
    <t xml:space="preserve">               ปลัดองค์การบริหารส่วนตำบลบ้านใหม่</t>
  </si>
  <si>
    <t xml:space="preserve">           ...........................................................</t>
  </si>
  <si>
    <t xml:space="preserve">                   (นายไพโรจน์   พึ่งทหาร)</t>
  </si>
  <si>
    <t xml:space="preserve">         นายกองค์การบริหารส่วนตำบลบ้านใหม่</t>
  </si>
  <si>
    <t>รองปลัดองค์การบริหารส่วนตำบล รักษาราชการแทน</t>
  </si>
  <si>
    <t xml:space="preserve">                  รักษาการแทน  ผู้อำนวยการกองคลัง</t>
  </si>
  <si>
    <t xml:space="preserve">              หัวหน้าฝ่ายการเงิน (นักบริหารงานคลัง)</t>
  </si>
  <si>
    <t>เลขที่ฎีกา</t>
  </si>
  <si>
    <t>หมวด / ประเภท</t>
  </si>
  <si>
    <t>จำนวนเงินที่ค้างจ่าย</t>
  </si>
  <si>
    <t>ผู้จัดทำ                                                                                                               ผู้ตรวจสอบ</t>
  </si>
  <si>
    <t>งบกลาง - เงินอุดหนุนเฉพาะกิจ (เบี้ยยังชีพผู้สูงอายุ)</t>
  </si>
  <si>
    <t>งบกลาง - เงินอุดหนุนเฉพาะกิจ (เบี้ยยังชีพผู้พิการ)</t>
  </si>
  <si>
    <t>เงินรายรับ (หมายเหตุ 1)</t>
  </si>
  <si>
    <t>เงินอุดหนุนทั่วไประบุวัตถุประสงค์</t>
  </si>
  <si>
    <t>รับจริง  สูงกว่า  จ่ายจริง</t>
  </si>
  <si>
    <t xml:space="preserve">ลูกหนี้-ภาษีบำรุงท้องที่  </t>
  </si>
  <si>
    <t xml:space="preserve">ลูกหนี้ - ภาษีโรงเรือนและที่ดิน </t>
  </si>
  <si>
    <t xml:space="preserve">ลูกหนี้-เงินกู้ยืมโครงการเศรษฐกิจชุมชน </t>
  </si>
  <si>
    <t>เงินฝากธนาคาร  เพื่อการเกษตรและสหกรณ์การเกษตร (ออมทรัพย์)</t>
  </si>
  <si>
    <t>เงินฝากธนาคารกรุงไทย(กระแสรายวัน)</t>
  </si>
  <si>
    <t>เงินฝากธนาคารกรุงไทย(ออมทรัพย์)</t>
  </si>
  <si>
    <t>ทุนทรัพย์สินหมุนเวียน</t>
  </si>
  <si>
    <t xml:space="preserve">เงินรับฝากต่าง ๆ </t>
  </si>
  <si>
    <t>เงินนอกงบประมาณ-เงินโครงการเศรษฐกิจชุมชน</t>
  </si>
  <si>
    <t>ทุนสำรองเงินสะสม</t>
  </si>
  <si>
    <t>เงินสะสมวันที่ 1 ตุลาคม 2553</t>
  </si>
  <si>
    <t>รายรับจริงงวดนี้สูงกว่ารายจ่ายจริง</t>
  </si>
  <si>
    <t>รับคืนระหว่างปี</t>
  </si>
  <si>
    <t>หัก</t>
  </si>
  <si>
    <t>ทุนสำรองเงินสะสมประจำปี</t>
  </si>
  <si>
    <t>1007</t>
  </si>
  <si>
    <t>-ครุภัณฑ์พาหนะและขนส่ง</t>
  </si>
  <si>
    <t>-ครุภัณฑ์การศึกษา</t>
  </si>
  <si>
    <t>เบิกจ่ายแล้ว</t>
  </si>
  <si>
    <t>คงเหลือ</t>
  </si>
  <si>
    <t xml:space="preserve">หมายเหตุ </t>
  </si>
  <si>
    <t>ก่อหนี้ผูกพัน</t>
  </si>
  <si>
    <t>ไม่ก่อหนี้ผูกพัน</t>
  </si>
  <si>
    <t>หมวดค่าใช้สอย</t>
  </si>
  <si>
    <t>หมวดค่าวัสดุ</t>
  </si>
  <si>
    <t xml:space="preserve">       - วัสดุอื่นๆ  (อาหารเสริมนม)</t>
  </si>
  <si>
    <t>หมวดค่าที่ดินและสิ่งก่อสร้าง</t>
  </si>
  <si>
    <t>เงินอุดหนุนเฉพาะกิจ</t>
  </si>
  <si>
    <t>รวมเงินที่จ่ายจากเงินอุดหนุนทั่วไประบุวัตถุประสงค์</t>
  </si>
  <si>
    <t>รวมเงินที่จ่ายจากเงินอุดหนุนเฉพาะกิจ</t>
  </si>
  <si>
    <t>(นางปริณดา  รุ่งเรือง)</t>
  </si>
  <si>
    <t xml:space="preserve"> ผู้อำนวยการกองคลัง</t>
  </si>
  <si>
    <t>(971,637.28)</t>
  </si>
  <si>
    <t>(4,802,581.48)</t>
  </si>
  <si>
    <t>เงินสะสมวันที่  30  กันยายน  2554</t>
  </si>
  <si>
    <t>ณ วันที่  30  กันยายน  2554</t>
  </si>
  <si>
    <t>ปะเภททรัพย์สิน</t>
  </si>
  <si>
    <t>ราคาทรัพย์สิน</t>
  </si>
  <si>
    <t>แหล่งที่มาของทรัพย์สิน</t>
  </si>
  <si>
    <t>................................................................</t>
  </si>
  <si>
    <t>ผู้อำนวยการกองคลัง</t>
  </si>
  <si>
    <t xml:space="preserve">                                              .....................................................นายกองค์การบริหารส่วนตำบล</t>
  </si>
  <si>
    <t xml:space="preserve">                                              ....................................................ปลัดองค์การบริหารส่วนตำบล</t>
  </si>
  <si>
    <t xml:space="preserve">                                             ......................................................ผู้อำนวยการกองคลัง</t>
  </si>
  <si>
    <t>ณ  วันที่   30   กันยายน   2555</t>
  </si>
  <si>
    <t>เงินฝากปรัจำ 6 เดือน ธ.กรุงไทย อัมพวัน</t>
  </si>
  <si>
    <t>024</t>
  </si>
  <si>
    <t>081</t>
  </si>
  <si>
    <t>ค่าจ้างลูกจ้างชั่วคราว - เงินอุดหนุนทั่วไประบุวัตถุประสงค์ (เงินเดือนครูศูนย์เด็กเล็ก)</t>
  </si>
  <si>
    <t>403</t>
  </si>
  <si>
    <t>ค่าใช้สอย - เงินอุดหนุนทั่วไประบุวัตถุประสงค์ ศูนย์พัฒนาครอบครัว</t>
  </si>
  <si>
    <t>ค่าใช้สอย - เงินอุดหนุนเฉพาะกิจโครงการป้องกันและแก้ปัญหายาเสพติด</t>
  </si>
  <si>
    <t>ค่าวัสดุ เงินอุดหนุนเฉพาะกิจ วัสดุการศึกษา</t>
  </si>
  <si>
    <t>ค่าที่ดินและสิ่งก่อสร้าง-เงินอุดหนุนเฉพาะกิจ (ถนนคสล.เลียบคลองลำปรุ ม.10)</t>
  </si>
  <si>
    <t>501</t>
  </si>
  <si>
    <t>ค่าที่ดินและสิ่งก่อสร้าง-เงินอุดหนุนเฉพาะกิจ (ถนนคสล.เลียบลำปรุ ม.9)</t>
  </si>
  <si>
    <t>502</t>
  </si>
  <si>
    <t>เงินรับฝาก (หมายเหตุ 2 )</t>
  </si>
  <si>
    <t>900</t>
  </si>
  <si>
    <t>เงินเกินบัญชี</t>
  </si>
  <si>
    <t xml:space="preserve">เงินฝากประจำ 6 เดือน  ธนาคารกรุงไทย  </t>
  </si>
  <si>
    <t>ณ  วันที่  30  กันยายน  2555</t>
  </si>
  <si>
    <t>หมวดเงินเดือน</t>
  </si>
  <si>
    <t>เทศบาลตำบลบ้านใหม่</t>
  </si>
  <si>
    <r>
      <t xml:space="preserve">อำเภอ </t>
    </r>
    <r>
      <rPr>
        <sz val="13"/>
        <rFont val="Angsana New"/>
        <family val="1"/>
      </rPr>
      <t xml:space="preserve">  เมืองนครราชสีมา       </t>
    </r>
    <r>
      <rPr>
        <b/>
        <sz val="13"/>
        <rFont val="Angsana New"/>
        <family val="1"/>
      </rPr>
      <t xml:space="preserve"> จังหวัด</t>
    </r>
    <r>
      <rPr>
        <sz val="13"/>
        <rFont val="Angsana New"/>
        <family val="1"/>
      </rPr>
      <t xml:space="preserve">   นครราชสีมา</t>
    </r>
  </si>
  <si>
    <t xml:space="preserve">        ปีงบประมาณ  2555</t>
  </si>
  <si>
    <t xml:space="preserve">                                                                    ประจำเดือน   กันยายน   2555</t>
  </si>
  <si>
    <t>ประมาณการ (บาท)</t>
  </si>
  <si>
    <t>เกิดขึ้นจริง (บาท)</t>
  </si>
  <si>
    <t>(หมายเหตุ 1)</t>
  </si>
  <si>
    <t>เงินอุดหนุนทั่วไประบุวัตถุประสงค์- เงินเดือนครูศูนย์เด็ก</t>
  </si>
  <si>
    <t>เงินอุดหนุนทั่วไประบุวัตถุประสงค์- ศูนย์พัฒนาครอบครัวในชุมชน</t>
  </si>
  <si>
    <t>เงินอุดหนุนเฉพาะกิจ(ถนนคสล.เลียบคลองลำปรุ ม.9)</t>
  </si>
  <si>
    <t>เงินอุดหนุนเฉพาะกิจ(ถนนคสล.เลียบคลองลำปรุ ม.10)</t>
  </si>
  <si>
    <t>เงินอุดหนุนเฉพาะกิจ(ค่าวัสดุการศึกษา)</t>
  </si>
  <si>
    <t>เงินอุดหนุนเฉพาะกิจ(โครงการป้องกันและแก้ปัญหายาเสพติด)</t>
  </si>
  <si>
    <t>เงินรับฝาก (หมายเหตุ 2)</t>
  </si>
  <si>
    <t>ลูกหนี้ค่าภาษีโรงเรือน</t>
  </si>
  <si>
    <t>ลูกหนี้เงินยืมเงินงบประมาณ</t>
  </si>
  <si>
    <t>ลูกหนี้เงินยืมเงินสะสม</t>
  </si>
  <si>
    <t>ลูกหนี้-เงินยืมเงินงบประมาณ</t>
  </si>
  <si>
    <t>จ่ายขาดเงินทุนสำรองเงินสะสม</t>
  </si>
  <si>
    <r>
      <t xml:space="preserve">รายรับ </t>
    </r>
    <r>
      <rPr>
        <sz val="13"/>
        <rFont val="Angsana New"/>
        <family val="1"/>
      </rPr>
      <t xml:space="preserve">                         รายจ่าย</t>
    </r>
  </si>
  <si>
    <t>รายรับจริงประกอบงบทดลองและรายงานรับ-จ่ายเงินสด</t>
  </si>
  <si>
    <r>
      <t xml:space="preserve">                                                                             ณ วันที่   30   กันยายน   2555                                                               </t>
    </r>
    <r>
      <rPr>
        <u val="single"/>
        <sz val="16"/>
        <rFont val="Angsana New"/>
        <family val="1"/>
      </rPr>
      <t>หมายเหตุ 1</t>
    </r>
  </si>
  <si>
    <t>ค่าธรรมเนียมจากการจดทะเบียนพาณิชย์</t>
  </si>
  <si>
    <t>(12)</t>
  </si>
  <si>
    <t>(13)</t>
  </si>
  <si>
    <t>อื่น ๆ (ค่าปรับผู้การทำผิดเกี่ยวกับน้ำมันเชื้อเพลิง)</t>
  </si>
  <si>
    <t>108</t>
  </si>
  <si>
    <t>109</t>
  </si>
  <si>
    <t>หมวดเงินอุดหนุนทั่วไประบุวัตถุประสงค์</t>
  </si>
  <si>
    <t xml:space="preserve"> 1. เงินอุดหนุนทั่วไประบุวัตถุประสงค์ (ศูนย์พัฒนาเด็กเล็ก)</t>
  </si>
  <si>
    <t xml:space="preserve"> 2. เงินอุดหนุนทั่วไประบุวัตถุประสงค์ (ศูนย์พัฒนาครอบครัวในชุมชน)</t>
  </si>
  <si>
    <t>รวมเงินอุดหนุนระบุวัตถุประสงค์</t>
  </si>
  <si>
    <t>1.เงินอุดหนุนเฉพาะกิจ (เบี้ยยังชีพผู้สูงอายุ)</t>
  </si>
  <si>
    <t>2.เงินอุดหนุนเฉพาะกิจ (เบี้ยยังชีพผู้พิการ)</t>
  </si>
  <si>
    <t>3.เงินอุดหนุนเฉพาะกิจ (ถนนคสล.เลียบคลองลำปรุ ม.10)</t>
  </si>
  <si>
    <t>4.เงินอุดหนุนเฉพาะกิจ (ถนนคสล.เลียบคลองลำปรุ ม.9)</t>
  </si>
  <si>
    <t>5.เงินอุดหนุนเฉพาะกิจ(ค่าวัสดุการศึกษา)</t>
  </si>
  <si>
    <t>6.เงินอุดหนุนเฉพาะกิจ(โครงการป้องกันและแก้ปัญหายาเสพติด)</t>
  </si>
  <si>
    <t>รายละเอียด ประกอบงบทดลองและรายงานรับ-จ่ายเงินสด</t>
  </si>
  <si>
    <r>
      <t>เงินรับฝาก (</t>
    </r>
    <r>
      <rPr>
        <u val="single"/>
        <sz val="16"/>
        <rFont val="Angsana New"/>
        <family val="1"/>
      </rPr>
      <t>หมายเหตุ 2</t>
    </r>
    <r>
      <rPr>
        <sz val="16"/>
        <rFont val="Angsana New"/>
        <family val="1"/>
      </rPr>
      <t>)</t>
    </r>
  </si>
  <si>
    <t>รับ</t>
  </si>
  <si>
    <t>จ่าย</t>
  </si>
  <si>
    <t>ประกันสัญญา</t>
  </si>
  <si>
    <t>เงินรับฝาก - ค่าใช้จ่าย ภบท.5%</t>
  </si>
  <si>
    <t>เงินรับฝาก - ส่วนลด ภบท.6%</t>
  </si>
  <si>
    <t>เงินรับฝาก - ค่าตอบแทน</t>
  </si>
  <si>
    <t>เงินรับฝาก - เงินทุนโครงการเศรษฐกิจชุมชน ฯ</t>
  </si>
  <si>
    <t>เงินรับฝาก - ดอกผลโครงการเศรษฐกิจชุมชน ฯ</t>
  </si>
  <si>
    <t>ประจำเดือน  กันยายน  2555</t>
  </si>
  <si>
    <t>00110</t>
  </si>
  <si>
    <t>003 เงินสงเคราะห์เบี้ยยังชีพ</t>
  </si>
  <si>
    <t>004 เงินช่วยเหลืองบเฉพาะการ</t>
  </si>
  <si>
    <t>204 เงินประโยชนืค่าตอบแทนพนักงาน</t>
  </si>
  <si>
    <t>279   วัสดุโฆษณาและเผยแพร่</t>
  </si>
  <si>
    <t>ธนาคารกรุงไทย สาขาอัมพวัน</t>
  </si>
  <si>
    <t>ยอดเงินคงเหลือตามรายงานธนาคาร ณ วันที่   30  กันยายน   2555</t>
  </si>
  <si>
    <t>ยอดคงเหลือตามบัญชี ณ วันที่   30  กันยายน   2555</t>
  </si>
  <si>
    <t>ลงชื่อ.......................................วันที่.  30  กันยายน  2555</t>
  </si>
  <si>
    <t>ตำแหน่ง ผู้อำนวยการกองคลัง</t>
  </si>
  <si>
    <t>เลขที่บัญชี  491 - 2 - 01572 - 5</t>
  </si>
  <si>
    <t>ยอดเงินคงเหลือตามรายงานธนาคาร ณ วันที่   30 กันยายน   2555</t>
  </si>
  <si>
    <t>เงินเดือน (เงินเดือนผู้บริหารรอหนังสือจ่าย)</t>
  </si>
  <si>
    <t>เงินเดือน (เงินเดือนพนักงานตกเบิกค่าครองชีพ)</t>
  </si>
  <si>
    <t>ค่าตอบแทน (ค่าตอบแทนสมาชิกรอหนังสือจ่าย)</t>
  </si>
  <si>
    <t>รายจ่ายเพื่อบำรุงรักษาหรือซอมแซมทรัพย์สิน (ซ่อมท่อระบายน้ำ คสล.)</t>
  </si>
  <si>
    <t>รายจ่ายเพื่อบำรุงรักษาหรือซอมแซมทรัพย์สิน (ซ่อมถนนคสล.)</t>
  </si>
  <si>
    <t>รายจ่ายเพื่อบำรุงรักษาหรือซอมแซมทรัพย์สิน (ซ่อมผิวถนนลาดยาง)</t>
  </si>
  <si>
    <t>โครงการก่อสร้างยกระดับถนน คสล.บริเวณซอยร่วมใจพัฒนา หมู่ที่9</t>
  </si>
  <si>
    <t>โครงการก่อสร้างวางท่อระบายน้ำคสล.บริเวณบ้านดาบโก๋ถึงสุดเขตเทศบาล</t>
  </si>
  <si>
    <t xml:space="preserve">       - เงินเดือน  (เงินเดือนผู้บริหารผู้บริหารรอหนังสือจังหวัด)</t>
  </si>
  <si>
    <t xml:space="preserve">       - เงินเดือน  (เงินเดือนพนักงานตกเบิกรอหนังสือจังหวัด)</t>
  </si>
  <si>
    <t>หมวดค่าตอบแทน</t>
  </si>
  <si>
    <t xml:space="preserve">       - ค่าตอบแทน  (ค่าตอบแทนสมาชิกรอหนังสือจังหวัด)</t>
  </si>
  <si>
    <t xml:space="preserve">       - รายจ่ายเพื่อบำรุงรักษาหรือซอมแซมทรัพย์สิน (ซ่อมท่อระบายน้ำ คสล.) </t>
  </si>
  <si>
    <t xml:space="preserve">       - รายจ่ายเพื่อบำรุงรักษาหรือซอมแซมทรัพย์สิน (ซ่อมถนนคสล.) </t>
  </si>
  <si>
    <t xml:space="preserve">       - รายจ่ายเพื่อบำรุงรักษาหรือซอมแซมทรัพย์สิน (ซ่อมผิวถนนลาดยาง) </t>
  </si>
  <si>
    <t xml:space="preserve">       - โครงการก่อสร้างยกระดับถนน คสล.บริเวณซอยร่วมใจพัฒนา หมู่ที่ 9</t>
  </si>
  <si>
    <t xml:space="preserve">       - โครงการก่อสร้างวางท่อระบายน้ำคสล.บริเวณบ้านดาบโก๋ ถึง สุดเขตเทศบาล</t>
  </si>
  <si>
    <t>ประจำปีงบประมาณ   2555</t>
  </si>
  <si>
    <t>1287/2555</t>
  </si>
  <si>
    <t>1281/2555</t>
  </si>
  <si>
    <t>1247/2555</t>
  </si>
  <si>
    <t>1259/2555</t>
  </si>
  <si>
    <t>1258/2555</t>
  </si>
  <si>
    <t>รายละเอียด   เงินสะสม  มีดังนี้</t>
  </si>
  <si>
    <t>รับจริงสูงกว่าจ่ายจริง</t>
  </si>
  <si>
    <t>รับระหว่างปี</t>
  </si>
  <si>
    <r>
      <t xml:space="preserve">       </t>
    </r>
    <r>
      <rPr>
        <u val="single"/>
        <sz val="16"/>
        <rFont val="Angsana New"/>
        <family val="1"/>
      </rPr>
      <t>หัก</t>
    </r>
  </si>
  <si>
    <t>เงินทุนสำรองเงินสะสม(25%จากรับจริงหักจ่ายจริง)</t>
  </si>
  <si>
    <t>หมายเหตุ  8</t>
  </si>
  <si>
    <t>เงินสะสมยกมา  1  ต.ค. 2554</t>
  </si>
  <si>
    <t>รายจ่ายรอจ่ายคงเหลือ</t>
  </si>
  <si>
    <t>รายจ่ายค้างจ่ายคงเหลือ</t>
  </si>
  <si>
    <t>รวมเงินสะสมยกไป  1  ต.ค. 2555</t>
  </si>
  <si>
    <t>เงินรับฝาก (หมายเหตุ  )</t>
  </si>
  <si>
    <t>งบรายรับ - รายจ่ายตามงบประมาณ  ประจำปี  2555</t>
  </si>
  <si>
    <t>ตั้งแต่วันที่  1  ตุลาคม  2554   ถึงวันที่  30  กันยายน  2555</t>
  </si>
  <si>
    <t>เงินสดในมือ</t>
  </si>
  <si>
    <t>รวมทรัพย์สิน</t>
  </si>
  <si>
    <t xml:space="preserve">ทุนทรัพย์สิน  </t>
  </si>
  <si>
    <t>รวมหนี้สินและเงินสะสม</t>
  </si>
  <si>
    <t>ลูกหนี้ - ภาษีโรงเรือนและที่ดิน (หมายเหตุ 3)</t>
  </si>
  <si>
    <t>ลูกหนี้-เงินกู้ยืมโครงการเศรษฐกิจชุมชน (หมายเหตุ  4)</t>
  </si>
  <si>
    <t>เงินรับฝาก (หมายเหตุ 7)</t>
  </si>
  <si>
    <t>เงินสะสม  (หมายเหตุ  8)</t>
  </si>
  <si>
    <t xml:space="preserve"> - เงินฝากธนาคารกรุงไทย(ออมทรัพย์)</t>
  </si>
  <si>
    <t xml:space="preserve"> - เงินฝากธนาคารกรุงไทย(ฝากประจำ)</t>
  </si>
  <si>
    <t xml:space="preserve"> - เงินฝากธนาคาร  เพื่อการเกษตรและสหกรณ์การเกษตร (ออมทรัพย์)</t>
  </si>
  <si>
    <t>สำหรับปีงบประมาณ 2555 ตั้งแต่วันที่  1  ตุลาคม 2554 สิ้นสุดวันที่  30 กันยายน 2555</t>
  </si>
  <si>
    <r>
      <t>ค่าจ้างลูกจ้างชั่วคราว - เงินอุดหนุนทั่วไประบุวัตถุประสงค์</t>
    </r>
    <r>
      <rPr>
        <sz val="11"/>
        <rFont val="Angsana New"/>
        <family val="1"/>
      </rPr>
      <t xml:space="preserve"> (เงินเดือนครูศูนย์เด็กเล็ก)</t>
    </r>
  </si>
  <si>
    <r>
      <t>ค่าที่ดินและสิ่งก่อสร้าง-เงินอุดหนุนเฉพาะกิจ</t>
    </r>
    <r>
      <rPr>
        <sz val="11"/>
        <rFont val="Angsana New"/>
        <family val="1"/>
      </rPr>
      <t xml:space="preserve"> (ถนนคสล.เลียบคลองลำปรุ ม.10)</t>
    </r>
  </si>
  <si>
    <t>ประจำปีงบประมาณ 2555 ณ วันที่  30  กันยายน 2555</t>
  </si>
  <si>
    <t xml:space="preserve">                     (นางสุระ  ปลักกระโทก)                                                                                 (นางปริณดา  รุ่งเรือง)</t>
  </si>
  <si>
    <t xml:space="preserve">         ตำแหน่ง เจ้าพนักงานการเงินและบัญชี                                                             ตำแหน่ง ผู้อำนวยการกองคลัง</t>
  </si>
  <si>
    <t xml:space="preserve">             (ลงชื่อ).......................................                                                                (ลงชื่อ)..................................................</t>
  </si>
  <si>
    <t>หมายเหตุ 1</t>
  </si>
  <si>
    <t>หมายเหตุ  2</t>
  </si>
  <si>
    <t>หมายเหตุ 5</t>
  </si>
  <si>
    <r>
      <t xml:space="preserve">                                                                                  รายจ่ายค้างจ่าย                                                                 </t>
    </r>
    <r>
      <rPr>
        <u val="single"/>
        <sz val="16"/>
        <rFont val="Angsana New"/>
        <family val="1"/>
      </rPr>
      <t>หมายเหตุ 5</t>
    </r>
  </si>
  <si>
    <t>หมายเหตุ 6</t>
  </si>
  <si>
    <t xml:space="preserve">เทศบาลตำบลบ้านใหม่     </t>
  </si>
  <si>
    <t>ทรัพย์สินตามงบทรัพย์สิน  (หมายเหตุ 1)</t>
  </si>
  <si>
    <t>เงินฝากธนาคาร  (หมายเหตุ  2)</t>
  </si>
  <si>
    <t>ลูกหนี้-ภาษีบำรุงท้องที่  (หมายเหตุ  3)</t>
  </si>
  <si>
    <t>รายจ่ายค้างจ่าย (หมายเหตุ 5)</t>
  </si>
  <si>
    <t>รายจ่ายรอจ่าย (หมายเหตุ 6)</t>
  </si>
  <si>
    <t xml:space="preserve">หมายเหตุ 7 </t>
  </si>
  <si>
    <t>งบทดลอง(หลังปิดบัญชี)</t>
  </si>
  <si>
    <t>ณ วันที่  30  กันยายน  2555</t>
  </si>
  <si>
    <t xml:space="preserve">                                                                             ณ วันที่   30   กันยายน   2555                                                               </t>
  </si>
  <si>
    <t>เงินรายได้รวมเงินอุดหนุนทั่วไป</t>
  </si>
  <si>
    <t>เงินรายได้ไม่รวมเงินอุดหนุน</t>
  </si>
  <si>
    <t>ค่าตอบแทน / เงินประโยชน์ตอบแทนพนักงาน (กองสาธารณสุข)</t>
  </si>
  <si>
    <t>ค่าตอบแทน / เงินประโยชน์ตอบแทนพนักงาน (กองคลัง)</t>
  </si>
  <si>
    <t>ค่าตอบแทน / เงินประโยชน์ตอบแทนพนักงาน (กองการศึกษาฯ)</t>
  </si>
  <si>
    <t>ค่าตอบแทน / เงินประโยชน์ตอบแทนพนักงาน (กองช่าง)</t>
  </si>
  <si>
    <t>ค่าตอบแทน / เงินประโยชน์ตอบแทนพนักงาน (สำนักปลัด)</t>
  </si>
  <si>
    <t>ณ  วันที่  30  กันยายน  พ.ศ.2555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</si>
</sst>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+_-* #,##0.00_-;\-* #,##0.00_-;_-* &quot;-&quot;??_-;_-@_-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#,##0.00_ ;\-#,##0.00\ "/>
    <numFmt numFmtId="204" formatCode="_-* #,##0.000_-;\-* #,##0.000_-;_-* &quot;-&quot;??_-;_-@_-"/>
    <numFmt numFmtId="205" formatCode="_-* #,##0.0000_-;\-* #,##0.0000_-;_-* &quot;-&quot;??_-;_-@_-"/>
    <numFmt numFmtId="206" formatCode="[$-41E]d\ mmmm\ yyyy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doubleAccounting"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sz val="8"/>
      <name val="Cordia New"/>
      <family val="0"/>
    </font>
    <font>
      <b/>
      <sz val="18"/>
      <name val="Angsana New"/>
      <family val="1"/>
    </font>
    <font>
      <u val="single"/>
      <sz val="16"/>
      <name val="Angsana New"/>
      <family val="1"/>
    </font>
    <font>
      <sz val="12"/>
      <name val="Angsana New"/>
      <family val="1"/>
    </font>
    <font>
      <sz val="13"/>
      <color indexed="8"/>
      <name val="Angsana New"/>
      <family val="1"/>
    </font>
    <font>
      <sz val="16"/>
      <name val="AngsanaUPC"/>
      <family val="1"/>
    </font>
    <font>
      <u val="doubleAccounting"/>
      <sz val="16"/>
      <name val="Angsana New"/>
      <family val="1"/>
    </font>
    <font>
      <b/>
      <sz val="10"/>
      <name val="Arial"/>
      <family val="2"/>
    </font>
    <font>
      <sz val="10"/>
      <name val="Angsana New"/>
      <family val="1"/>
    </font>
    <font>
      <b/>
      <sz val="17"/>
      <name val="Angsana New"/>
      <family val="1"/>
    </font>
    <font>
      <b/>
      <sz val="12"/>
      <name val="Angsana New"/>
      <family val="1"/>
    </font>
    <font>
      <sz val="12"/>
      <color indexed="8"/>
      <name val="Angsana New"/>
      <family val="1"/>
    </font>
    <font>
      <u val="single"/>
      <sz val="14"/>
      <name val="Cordia New"/>
      <family val="0"/>
    </font>
    <font>
      <sz val="11"/>
      <name val="Angsana New"/>
      <family val="1"/>
    </font>
    <font>
      <b/>
      <sz val="14"/>
      <color indexed="10"/>
      <name val="Angsana New"/>
      <family val="1"/>
    </font>
    <font>
      <sz val="14"/>
      <color indexed="8"/>
      <name val="Angsana New"/>
      <family val="0"/>
    </font>
    <font>
      <sz val="14"/>
      <color indexed="8"/>
      <name val="TH SarabunIT๙"/>
      <family val="2"/>
    </font>
    <font>
      <sz val="13"/>
      <name val="Angsana New"/>
      <family val="1"/>
    </font>
    <font>
      <sz val="16"/>
      <color indexed="8"/>
      <name val="Angsana New"/>
      <family val="0"/>
    </font>
    <font>
      <b/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12"/>
      <name val="Angsana New"/>
      <family val="1"/>
    </font>
    <font>
      <b/>
      <u val="single"/>
      <sz val="13"/>
      <name val="Angsana New"/>
      <family val="1"/>
    </font>
    <font>
      <sz val="14"/>
      <color indexed="8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6"/>
      <color indexed="10"/>
      <name val="Angsana New"/>
      <family val="1"/>
    </font>
    <font>
      <u val="singleAccounting"/>
      <sz val="16"/>
      <name val="Angsana New"/>
      <family val="1"/>
    </font>
    <font>
      <b/>
      <u val="single"/>
      <sz val="16"/>
      <name val="Angsana New"/>
      <family val="1"/>
    </font>
    <font>
      <sz val="16"/>
      <color indexed="8"/>
      <name val="TH SarabunIT๙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0" xfId="15" applyFont="1" applyAlignment="1">
      <alignment/>
    </xf>
    <xf numFmtId="43" fontId="2" fillId="0" borderId="0" xfId="0" applyNumberFormat="1" applyFont="1" applyAlignment="1">
      <alignment/>
    </xf>
    <xf numFmtId="43" fontId="1" fillId="0" borderId="4" xfId="15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15" applyFont="1" applyBorder="1" applyAlignment="1">
      <alignment/>
    </xf>
    <xf numFmtId="43" fontId="3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1" fillId="0" borderId="3" xfId="15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4" xfId="15" applyFont="1" applyBorder="1" applyAlignment="1">
      <alignment/>
    </xf>
    <xf numFmtId="43" fontId="4" fillId="0" borderId="2" xfId="15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5" xfId="15" applyFont="1" applyBorder="1" applyAlignment="1">
      <alignment/>
    </xf>
    <xf numFmtId="0" fontId="4" fillId="0" borderId="0" xfId="0" applyFont="1" applyAlignment="1">
      <alignment/>
    </xf>
    <xf numFmtId="194" fontId="1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6" xfId="15" applyFont="1" applyBorder="1" applyAlignment="1">
      <alignment/>
    </xf>
    <xf numFmtId="43" fontId="1" fillId="0" borderId="7" xfId="15" applyFont="1" applyBorder="1" applyAlignment="1">
      <alignment/>
    </xf>
    <xf numFmtId="39" fontId="1" fillId="0" borderId="0" xfId="15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43" fontId="1" fillId="0" borderId="0" xfId="15" applyFont="1" applyAlignment="1">
      <alignment/>
    </xf>
    <xf numFmtId="43" fontId="2" fillId="0" borderId="8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10" fillId="0" borderId="4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0" xfId="15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9" xfId="0" applyNumberFormat="1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9" xfId="15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4" fontId="1" fillId="0" borderId="15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3" fontId="1" fillId="0" borderId="9" xfId="15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horizontal="center"/>
    </xf>
    <xf numFmtId="203" fontId="1" fillId="0" borderId="0" xfId="15" applyNumberFormat="1" applyFont="1" applyAlignment="1">
      <alignment horizontal="center"/>
    </xf>
    <xf numFmtId="43" fontId="1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19">
      <alignment/>
      <protection/>
    </xf>
    <xf numFmtId="0" fontId="4" fillId="0" borderId="16" xfId="19" applyFont="1" applyBorder="1" applyAlignment="1">
      <alignment horizontal="center"/>
      <protection/>
    </xf>
    <xf numFmtId="9" fontId="4" fillId="0" borderId="16" xfId="19" applyNumberFormat="1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9" fontId="4" fillId="0" borderId="7" xfId="19" applyNumberFormat="1" applyFont="1" applyBorder="1" applyAlignment="1">
      <alignment horizontal="center"/>
      <protection/>
    </xf>
    <xf numFmtId="0" fontId="4" fillId="0" borderId="17" xfId="19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0" fontId="4" fillId="0" borderId="19" xfId="19" applyFont="1" applyBorder="1">
      <alignment/>
      <protection/>
    </xf>
    <xf numFmtId="2" fontId="4" fillId="0" borderId="17" xfId="19" applyNumberFormat="1" applyFont="1" applyBorder="1" applyAlignment="1">
      <alignment horizontal="center"/>
      <protection/>
    </xf>
    <xf numFmtId="0" fontId="4" fillId="0" borderId="17" xfId="19" applyFont="1" applyBorder="1">
      <alignment/>
      <protection/>
    </xf>
    <xf numFmtId="0" fontId="4" fillId="0" borderId="3" xfId="19" applyFont="1" applyBorder="1" applyAlignment="1">
      <alignment horizontal="center"/>
      <protection/>
    </xf>
    <xf numFmtId="0" fontId="4" fillId="0" borderId="20" xfId="19" applyFont="1" applyBorder="1">
      <alignment/>
      <protection/>
    </xf>
    <xf numFmtId="0" fontId="4" fillId="0" borderId="21" xfId="19" applyFont="1" applyBorder="1">
      <alignment/>
      <protection/>
    </xf>
    <xf numFmtId="2" fontId="4" fillId="0" borderId="3" xfId="19" applyNumberFormat="1" applyFont="1" applyBorder="1" applyAlignment="1">
      <alignment horizontal="center"/>
      <protection/>
    </xf>
    <xf numFmtId="2" fontId="4" fillId="0" borderId="3" xfId="19" applyNumberFormat="1" applyFont="1" applyBorder="1">
      <alignment/>
      <protection/>
    </xf>
    <xf numFmtId="2" fontId="4" fillId="0" borderId="3" xfId="19" applyNumberFormat="1" applyFont="1" applyBorder="1" applyAlignment="1">
      <alignment horizontal="right"/>
      <protection/>
    </xf>
    <xf numFmtId="2" fontId="5" fillId="0" borderId="1" xfId="19" applyNumberFormat="1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2" fontId="14" fillId="0" borderId="0" xfId="19" applyNumberFormat="1" applyFont="1" applyBorder="1">
      <alignment/>
      <protection/>
    </xf>
    <xf numFmtId="0" fontId="4" fillId="0" borderId="16" xfId="19" applyFont="1" applyBorder="1" applyAlignment="1">
      <alignment horizontal="center" vertical="center" wrapText="1" shrinkToFit="1"/>
      <protection/>
    </xf>
    <xf numFmtId="0" fontId="4" fillId="0" borderId="7" xfId="19" applyFont="1" applyBorder="1" applyAlignment="1">
      <alignment horizontal="center" vertical="center" wrapText="1" shrinkToFit="1"/>
      <protection/>
    </xf>
    <xf numFmtId="0" fontId="4" fillId="0" borderId="22" xfId="19" applyFont="1" applyBorder="1">
      <alignment/>
      <protection/>
    </xf>
    <xf numFmtId="0" fontId="4" fillId="0" borderId="23" xfId="19" applyFont="1" applyBorder="1">
      <alignment/>
      <protection/>
    </xf>
    <xf numFmtId="0" fontId="4" fillId="0" borderId="2" xfId="19" applyFont="1" applyBorder="1" applyAlignment="1">
      <alignment horizontal="center"/>
      <protection/>
    </xf>
    <xf numFmtId="0" fontId="4" fillId="0" borderId="2" xfId="19" applyFont="1" applyBorder="1">
      <alignment/>
      <protection/>
    </xf>
    <xf numFmtId="0" fontId="4" fillId="0" borderId="3" xfId="19" applyNumberFormat="1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2" fontId="4" fillId="0" borderId="0" xfId="19" applyNumberFormat="1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0" fillId="0" borderId="3" xfId="19" applyBorder="1" applyAlignment="1">
      <alignment horizontal="center"/>
      <protection/>
    </xf>
    <xf numFmtId="0" fontId="4" fillId="0" borderId="3" xfId="19" applyFont="1" applyFill="1" applyBorder="1" applyAlignment="1">
      <alignment horizontal="center"/>
      <protection/>
    </xf>
    <xf numFmtId="2" fontId="4" fillId="0" borderId="3" xfId="19" applyNumberFormat="1" applyFont="1" applyFill="1" applyBorder="1">
      <alignment/>
      <protection/>
    </xf>
    <xf numFmtId="0" fontId="4" fillId="0" borderId="3" xfId="19" applyFont="1" applyFill="1" applyBorder="1">
      <alignment/>
      <protection/>
    </xf>
    <xf numFmtId="2" fontId="4" fillId="0" borderId="3" xfId="19" applyNumberFormat="1" applyFont="1" applyFill="1" applyBorder="1" applyAlignment="1">
      <alignment horizontal="right"/>
      <protection/>
    </xf>
    <xf numFmtId="2" fontId="5" fillId="0" borderId="1" xfId="19" applyNumberFormat="1" applyFont="1" applyFill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5" fillId="0" borderId="0" xfId="19" applyNumberFormat="1" applyFont="1" applyBorder="1" applyAlignment="1">
      <alignment horizontal="center"/>
      <protection/>
    </xf>
    <xf numFmtId="0" fontId="15" fillId="0" borderId="0" xfId="19" applyFont="1" applyBorder="1" applyAlignment="1">
      <alignment horizontal="center"/>
      <protection/>
    </xf>
    <xf numFmtId="2" fontId="4" fillId="0" borderId="0" xfId="19" applyNumberFormat="1" applyFont="1" applyBorder="1" applyAlignment="1">
      <alignment horizontal="right"/>
      <protection/>
    </xf>
    <xf numFmtId="2" fontId="4" fillId="0" borderId="24" xfId="19" applyNumberFormat="1" applyFont="1" applyBorder="1" applyAlignment="1">
      <alignment horizontal="right"/>
      <protection/>
    </xf>
    <xf numFmtId="0" fontId="4" fillId="0" borderId="25" xfId="19" applyFont="1" applyBorder="1">
      <alignment/>
      <protection/>
    </xf>
    <xf numFmtId="0" fontId="4" fillId="0" borderId="26" xfId="19" applyFont="1" applyBorder="1">
      <alignment/>
      <protection/>
    </xf>
    <xf numFmtId="0" fontId="10" fillId="0" borderId="24" xfId="19" applyFont="1" applyBorder="1" applyAlignment="1">
      <alignment horizontal="center"/>
      <protection/>
    </xf>
    <xf numFmtId="0" fontId="15" fillId="0" borderId="24" xfId="19" applyFont="1" applyBorder="1" applyAlignment="1">
      <alignment horizontal="center"/>
      <protection/>
    </xf>
    <xf numFmtId="0" fontId="4" fillId="0" borderId="24" xfId="19" applyFont="1" applyBorder="1" applyAlignment="1">
      <alignment horizontal="center"/>
      <protection/>
    </xf>
    <xf numFmtId="0" fontId="10" fillId="0" borderId="26" xfId="19" applyFont="1" applyBorder="1">
      <alignment/>
      <protection/>
    </xf>
    <xf numFmtId="2" fontId="5" fillId="0" borderId="0" xfId="19" applyNumberFormat="1" applyFont="1" applyBorder="1">
      <alignment/>
      <protection/>
    </xf>
    <xf numFmtId="2" fontId="4" fillId="0" borderId="24" xfId="19" applyNumberFormat="1" applyFont="1" applyBorder="1">
      <alignment/>
      <protection/>
    </xf>
    <xf numFmtId="0" fontId="15" fillId="0" borderId="3" xfId="19" applyFont="1" applyBorder="1" applyAlignment="1">
      <alignment horizontal="center"/>
      <protection/>
    </xf>
    <xf numFmtId="2" fontId="0" fillId="0" borderId="0" xfId="19" applyNumberFormat="1">
      <alignment/>
      <protection/>
    </xf>
    <xf numFmtId="2" fontId="0" fillId="0" borderId="0" xfId="0" applyNumberFormat="1" applyAlignment="1">
      <alignment/>
    </xf>
    <xf numFmtId="0" fontId="10" fillId="0" borderId="24" xfId="19" applyFont="1" applyBorder="1">
      <alignment/>
      <protection/>
    </xf>
    <xf numFmtId="0" fontId="0" fillId="0" borderId="0" xfId="19" applyFont="1">
      <alignment/>
      <protection/>
    </xf>
    <xf numFmtId="0" fontId="10" fillId="0" borderId="21" xfId="19" applyFont="1" applyBorder="1">
      <alignment/>
      <protection/>
    </xf>
    <xf numFmtId="0" fontId="10" fillId="0" borderId="3" xfId="19" applyFont="1" applyBorder="1" applyAlignment="1">
      <alignment horizontal="center"/>
      <protection/>
    </xf>
    <xf numFmtId="0" fontId="10" fillId="0" borderId="3" xfId="19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10" fillId="0" borderId="21" xfId="0" applyFont="1" applyBorder="1" applyAlignment="1">
      <alignment/>
    </xf>
    <xf numFmtId="49" fontId="4" fillId="0" borderId="24" xfId="19" applyNumberFormat="1" applyFont="1" applyBorder="1" applyAlignment="1">
      <alignment horizontal="center"/>
      <protection/>
    </xf>
    <xf numFmtId="2" fontId="4" fillId="0" borderId="3" xfId="0" applyNumberFormat="1" applyFont="1" applyBorder="1" applyAlignment="1">
      <alignment horizontal="right"/>
    </xf>
    <xf numFmtId="0" fontId="0" fillId="0" borderId="0" xfId="19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7" xfId="19" applyFont="1" applyBorder="1" applyAlignment="1">
      <alignment horizontal="center" vertical="center" wrapText="1" shrinkToFit="1"/>
      <protection/>
    </xf>
    <xf numFmtId="0" fontId="4" fillId="0" borderId="18" xfId="19" applyFont="1" applyBorder="1" applyAlignment="1">
      <alignment horizontal="left" vertical="center"/>
      <protection/>
    </xf>
    <xf numFmtId="0" fontId="4" fillId="0" borderId="19" xfId="19" applyFont="1" applyBorder="1" applyAlignment="1">
      <alignment horizontal="left" vertical="center"/>
      <protection/>
    </xf>
    <xf numFmtId="0" fontId="4" fillId="0" borderId="17" xfId="19" applyFont="1" applyBorder="1" applyAlignment="1">
      <alignment horizontal="center" vertical="center"/>
      <protection/>
    </xf>
    <xf numFmtId="2" fontId="4" fillId="0" borderId="17" xfId="19" applyNumberFormat="1" applyFont="1" applyBorder="1" applyAlignment="1">
      <alignment horizontal="right"/>
      <protection/>
    </xf>
    <xf numFmtId="0" fontId="4" fillId="0" borderId="17" xfId="19" applyFont="1" applyBorder="1" applyAlignment="1">
      <alignment horizontal="right"/>
      <protection/>
    </xf>
    <xf numFmtId="0" fontId="4" fillId="0" borderId="3" xfId="19" applyFont="1" applyBorder="1" applyAlignment="1">
      <alignment horizontal="center" vertical="center" wrapText="1" shrinkToFit="1"/>
      <protection/>
    </xf>
    <xf numFmtId="0" fontId="4" fillId="0" borderId="20" xfId="19" applyFont="1" applyBorder="1" applyAlignment="1">
      <alignment horizontal="left" vertical="center"/>
      <protection/>
    </xf>
    <xf numFmtId="0" fontId="4" fillId="0" borderId="21" xfId="19" applyFont="1" applyBorder="1" applyAlignment="1">
      <alignment horizontal="left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right"/>
      <protection/>
    </xf>
    <xf numFmtId="16" fontId="4" fillId="0" borderId="3" xfId="19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5" fillId="0" borderId="16" xfId="19" applyNumberFormat="1" applyFont="1" applyBorder="1">
      <alignment/>
      <protection/>
    </xf>
    <xf numFmtId="43" fontId="5" fillId="0" borderId="27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4" fillId="0" borderId="17" xfId="15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3" fontId="4" fillId="0" borderId="3" xfId="15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15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3" fontId="5" fillId="0" borderId="1" xfId="15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/>
    </xf>
    <xf numFmtId="43" fontId="5" fillId="0" borderId="16" xfId="15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3" fontId="5" fillId="0" borderId="28" xfId="15" applyFont="1" applyBorder="1" applyAlignment="1">
      <alignment/>
    </xf>
    <xf numFmtId="0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43" fontId="5" fillId="0" borderId="0" xfId="15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3" fontId="4" fillId="0" borderId="17" xfId="15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39" fontId="1" fillId="0" borderId="3" xfId="15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39" fontId="1" fillId="0" borderId="24" xfId="15" applyNumberFormat="1" applyFont="1" applyBorder="1" applyAlignment="1">
      <alignment horizontal="right"/>
    </xf>
    <xf numFmtId="39" fontId="0" fillId="0" borderId="29" xfId="0" applyNumberFormat="1" applyBorder="1" applyAlignment="1">
      <alignment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30" xfId="15" applyFont="1" applyBorder="1" applyAlignment="1">
      <alignment/>
    </xf>
    <xf numFmtId="0" fontId="4" fillId="0" borderId="5" xfId="0" applyFont="1" applyBorder="1" applyAlignment="1">
      <alignment/>
    </xf>
    <xf numFmtId="43" fontId="5" fillId="0" borderId="1" xfId="15" applyFont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Border="1" applyAlignment="1">
      <alignment/>
    </xf>
    <xf numFmtId="43" fontId="4" fillId="0" borderId="0" xfId="15" applyFont="1" applyAlignment="1">
      <alignment/>
    </xf>
    <xf numFmtId="43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3" fontId="10" fillId="0" borderId="3" xfId="15" applyFont="1" applyBorder="1" applyAlignment="1">
      <alignment/>
    </xf>
    <xf numFmtId="4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43" fontId="10" fillId="0" borderId="2" xfId="15" applyFont="1" applyBorder="1" applyAlignment="1">
      <alignment/>
    </xf>
    <xf numFmtId="43" fontId="10" fillId="0" borderId="0" xfId="15" applyFont="1" applyAlignment="1">
      <alignment/>
    </xf>
    <xf numFmtId="43" fontId="17" fillId="0" borderId="29" xfId="15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3" fontId="17" fillId="0" borderId="0" xfId="15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3" fontId="10" fillId="0" borderId="0" xfId="15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/>
    </xf>
    <xf numFmtId="43" fontId="10" fillId="0" borderId="16" xfId="15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4" xfId="0" applyFont="1" applyBorder="1" applyAlignment="1">
      <alignment/>
    </xf>
    <xf numFmtId="43" fontId="10" fillId="0" borderId="4" xfId="15" applyFont="1" applyBorder="1" applyAlignment="1">
      <alignment/>
    </xf>
    <xf numFmtId="43" fontId="10" fillId="0" borderId="31" xfId="15" applyFont="1" applyBorder="1" applyAlignment="1">
      <alignment/>
    </xf>
    <xf numFmtId="199" fontId="10" fillId="0" borderId="4" xfId="15" applyNumberFormat="1" applyFont="1" applyBorder="1" applyAlignment="1">
      <alignment/>
    </xf>
    <xf numFmtId="43" fontId="18" fillId="0" borderId="31" xfId="15" applyFont="1" applyBorder="1" applyAlignment="1">
      <alignment/>
    </xf>
    <xf numFmtId="199" fontId="10" fillId="0" borderId="7" xfId="15" applyNumberFormat="1" applyFont="1" applyBorder="1" applyAlignment="1">
      <alignment/>
    </xf>
    <xf numFmtId="43" fontId="10" fillId="0" borderId="1" xfId="15" applyFont="1" applyBorder="1" applyAlignment="1">
      <alignment/>
    </xf>
    <xf numFmtId="0" fontId="10" fillId="0" borderId="0" xfId="0" applyFont="1" applyBorder="1" applyAlignment="1">
      <alignment horizontal="left"/>
    </xf>
    <xf numFmtId="199" fontId="10" fillId="0" borderId="0" xfId="15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43" fontId="18" fillId="0" borderId="4" xfId="15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7" xfId="15" applyFont="1" applyBorder="1" applyAlignment="1">
      <alignment/>
    </xf>
    <xf numFmtId="43" fontId="17" fillId="0" borderId="1" xfId="15" applyFont="1" applyBorder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3" fontId="10" fillId="0" borderId="16" xfId="15" applyFont="1" applyBorder="1" applyAlignment="1">
      <alignment/>
    </xf>
    <xf numFmtId="43" fontId="0" fillId="0" borderId="0" xfId="15" applyFont="1" applyAlignment="1">
      <alignment/>
    </xf>
    <xf numFmtId="0" fontId="0" fillId="0" borderId="16" xfId="0" applyFont="1" applyBorder="1" applyAlignment="1">
      <alignment/>
    </xf>
    <xf numFmtId="43" fontId="0" fillId="0" borderId="4" xfId="15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43" fontId="0" fillId="0" borderId="16" xfId="15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29" xfId="0" applyNumberFormat="1" applyFont="1" applyBorder="1" applyAlignment="1">
      <alignment/>
    </xf>
    <xf numFmtId="43" fontId="0" fillId="0" borderId="29" xfId="15" applyFont="1" applyBorder="1" applyAlignment="1">
      <alignment/>
    </xf>
    <xf numFmtId="43" fontId="10" fillId="0" borderId="16" xfId="15" applyFont="1" applyBorder="1" applyAlignment="1">
      <alignment horizontal="center"/>
    </xf>
    <xf numFmtId="43" fontId="10" fillId="0" borderId="7" xfId="15" applyFont="1" applyBorder="1" applyAlignment="1">
      <alignment horizontal="center"/>
    </xf>
    <xf numFmtId="0" fontId="10" fillId="0" borderId="18" xfId="0" applyFont="1" applyBorder="1" applyAlignment="1">
      <alignment/>
    </xf>
    <xf numFmtId="43" fontId="10" fillId="0" borderId="19" xfId="15" applyFont="1" applyBorder="1" applyAlignment="1">
      <alignment/>
    </xf>
    <xf numFmtId="43" fontId="10" fillId="0" borderId="17" xfId="15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15" applyNumberFormat="1" applyFont="1" applyBorder="1" applyAlignment="1">
      <alignment/>
    </xf>
    <xf numFmtId="0" fontId="10" fillId="0" borderId="25" xfId="0" applyFont="1" applyBorder="1" applyAlignment="1">
      <alignment/>
    </xf>
    <xf numFmtId="49" fontId="10" fillId="0" borderId="26" xfId="15" applyNumberFormat="1" applyFont="1" applyBorder="1" applyAlignment="1">
      <alignment/>
    </xf>
    <xf numFmtId="0" fontId="4" fillId="0" borderId="5" xfId="19" applyFont="1" applyBorder="1" applyAlignment="1">
      <alignment horizontal="center"/>
      <protection/>
    </xf>
    <xf numFmtId="0" fontId="4" fillId="0" borderId="32" xfId="19" applyFont="1" applyBorder="1">
      <alignment/>
      <protection/>
    </xf>
    <xf numFmtId="0" fontId="4" fillId="0" borderId="33" xfId="19" applyFont="1" applyBorder="1">
      <alignment/>
      <protection/>
    </xf>
    <xf numFmtId="0" fontId="4" fillId="0" borderId="5" xfId="19" applyFont="1" applyBorder="1">
      <alignment/>
      <protection/>
    </xf>
    <xf numFmtId="2" fontId="4" fillId="0" borderId="5" xfId="19" applyNumberFormat="1" applyFont="1" applyBorder="1" applyAlignment="1">
      <alignment horizontal="right"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" xfId="0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5" xfId="19" applyFont="1" applyBorder="1" applyAlignment="1">
      <alignment horizontal="center" vertical="center" wrapText="1" shrinkToFit="1"/>
      <protection/>
    </xf>
    <xf numFmtId="0" fontId="4" fillId="0" borderId="32" xfId="19" applyFont="1" applyBorder="1" applyAlignment="1">
      <alignment horizontal="left" vertical="center"/>
      <protection/>
    </xf>
    <xf numFmtId="0" fontId="4" fillId="0" borderId="33" xfId="19" applyFont="1" applyBorder="1" applyAlignment="1">
      <alignment horizontal="left" vertical="center"/>
      <protection/>
    </xf>
    <xf numFmtId="0" fontId="4" fillId="0" borderId="5" xfId="19" applyFont="1" applyBorder="1" applyAlignment="1">
      <alignment horizontal="center" vertical="center"/>
      <protection/>
    </xf>
    <xf numFmtId="0" fontId="4" fillId="0" borderId="5" xfId="19" applyFont="1" applyBorder="1" applyAlignment="1">
      <alignment horizontal="right"/>
      <protection/>
    </xf>
    <xf numFmtId="0" fontId="4" fillId="0" borderId="17" xfId="19" applyFont="1" applyFill="1" applyBorder="1" applyAlignment="1">
      <alignment horizontal="center"/>
      <protection/>
    </xf>
    <xf numFmtId="0" fontId="4" fillId="0" borderId="15" xfId="19" applyFont="1" applyBorder="1">
      <alignment/>
      <protection/>
    </xf>
    <xf numFmtId="0" fontId="4" fillId="0" borderId="11" xfId="19" applyFont="1" applyBorder="1">
      <alignment/>
      <protection/>
    </xf>
    <xf numFmtId="2" fontId="4" fillId="0" borderId="16" xfId="19" applyNumberFormat="1" applyFont="1" applyBorder="1" applyAlignment="1">
      <alignment horizontal="right"/>
      <protection/>
    </xf>
    <xf numFmtId="0" fontId="15" fillId="0" borderId="17" xfId="19" applyFont="1" applyBorder="1" applyAlignment="1">
      <alignment horizontal="center"/>
      <protection/>
    </xf>
    <xf numFmtId="0" fontId="4" fillId="0" borderId="18" xfId="19" applyFont="1" applyFill="1" applyBorder="1">
      <alignment/>
      <protection/>
    </xf>
    <xf numFmtId="0" fontId="10" fillId="0" borderId="19" xfId="19" applyFont="1" applyFill="1" applyBorder="1">
      <alignment/>
      <protection/>
    </xf>
    <xf numFmtId="0" fontId="4" fillId="0" borderId="17" xfId="19" applyFont="1" applyFill="1" applyBorder="1">
      <alignment/>
      <protection/>
    </xf>
    <xf numFmtId="43" fontId="21" fillId="0" borderId="0" xfId="15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" xfId="0" applyFont="1" applyBorder="1" applyAlignment="1">
      <alignment/>
    </xf>
    <xf numFmtId="43" fontId="1" fillId="0" borderId="4" xfId="15" applyFont="1" applyBorder="1" applyAlignment="1">
      <alignment/>
    </xf>
    <xf numFmtId="0" fontId="9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43" fontId="1" fillId="0" borderId="1" xfId="15" applyFont="1" applyBorder="1" applyAlignment="1">
      <alignment/>
    </xf>
    <xf numFmtId="0" fontId="1" fillId="0" borderId="1" xfId="0" applyFont="1" applyBorder="1" applyAlignment="1">
      <alignment/>
    </xf>
    <xf numFmtId="43" fontId="1" fillId="0" borderId="0" xfId="15" applyFont="1" applyAlignment="1">
      <alignment/>
    </xf>
    <xf numFmtId="43" fontId="17" fillId="0" borderId="7" xfId="15" applyFont="1" applyBorder="1" applyAlignment="1">
      <alignment/>
    </xf>
    <xf numFmtId="43" fontId="0" fillId="0" borderId="34" xfId="15" applyFont="1" applyBorder="1" applyAlignment="1">
      <alignment/>
    </xf>
    <xf numFmtId="49" fontId="0" fillId="0" borderId="4" xfId="15" applyNumberFormat="1" applyFont="1" applyBorder="1" applyAlignment="1">
      <alignment horizontal="right"/>
    </xf>
    <xf numFmtId="0" fontId="19" fillId="0" borderId="0" xfId="0" applyFont="1" applyAlignment="1">
      <alignment/>
    </xf>
    <xf numFmtId="43" fontId="0" fillId="0" borderId="0" xfId="15" applyAlignment="1">
      <alignment/>
    </xf>
    <xf numFmtId="0" fontId="10" fillId="0" borderId="17" xfId="0" applyFont="1" applyBorder="1" applyAlignment="1">
      <alignment/>
    </xf>
    <xf numFmtId="49" fontId="10" fillId="0" borderId="3" xfId="15" applyNumberFormat="1" applyFont="1" applyBorder="1" applyAlignment="1">
      <alignment/>
    </xf>
    <xf numFmtId="43" fontId="0" fillId="0" borderId="3" xfId="15" applyBorder="1" applyAlignment="1">
      <alignment/>
    </xf>
    <xf numFmtId="43" fontId="0" fillId="0" borderId="29" xfId="15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199" fontId="1" fillId="0" borderId="4" xfId="15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43" fontId="1" fillId="0" borderId="1" xfId="15" applyFont="1" applyBorder="1" applyAlignment="1">
      <alignment/>
    </xf>
    <xf numFmtId="199" fontId="1" fillId="0" borderId="1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43" fontId="1" fillId="0" borderId="16" xfId="15" applyFont="1" applyBorder="1" applyAlignment="1">
      <alignment/>
    </xf>
    <xf numFmtId="199" fontId="1" fillId="0" borderId="7" xfId="15" applyNumberFormat="1" applyFont="1" applyBorder="1" applyAlignment="1">
      <alignment/>
    </xf>
    <xf numFmtId="43" fontId="1" fillId="0" borderId="29" xfId="15" applyFont="1" applyBorder="1" applyAlignment="1">
      <alignment/>
    </xf>
    <xf numFmtId="199" fontId="1" fillId="0" borderId="0" xfId="15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3" fontId="1" fillId="0" borderId="17" xfId="15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15" applyNumberFormat="1" applyFont="1" applyBorder="1" applyAlignment="1">
      <alignment/>
    </xf>
    <xf numFmtId="43" fontId="1" fillId="0" borderId="3" xfId="15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15" applyNumberFormat="1" applyFont="1" applyBorder="1" applyAlignment="1">
      <alignment/>
    </xf>
    <xf numFmtId="43" fontId="1" fillId="0" borderId="24" xfId="15" applyFont="1" applyBorder="1" applyAlignment="1">
      <alignment/>
    </xf>
    <xf numFmtId="43" fontId="1" fillId="0" borderId="29" xfId="15" applyFont="1" applyBorder="1" applyAlignment="1">
      <alignment/>
    </xf>
    <xf numFmtId="0" fontId="1" fillId="0" borderId="0" xfId="0" applyFont="1" applyAlignment="1">
      <alignment/>
    </xf>
    <xf numFmtId="43" fontId="4" fillId="0" borderId="1" xfId="15" applyFont="1" applyBorder="1" applyAlignment="1">
      <alignment horizontal="center"/>
    </xf>
    <xf numFmtId="0" fontId="4" fillId="0" borderId="17" xfId="0" applyFont="1" applyBorder="1" applyAlignment="1">
      <alignment/>
    </xf>
    <xf numFmtId="43" fontId="4" fillId="0" borderId="17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3" fontId="5" fillId="0" borderId="29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4" fillId="0" borderId="3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43" fontId="24" fillId="0" borderId="35" xfId="15" applyFont="1" applyBorder="1" applyAlignment="1">
      <alignment/>
    </xf>
    <xf numFmtId="43" fontId="24" fillId="0" borderId="29" xfId="15" applyFont="1" applyBorder="1" applyAlignment="1">
      <alignment/>
    </xf>
    <xf numFmtId="0" fontId="24" fillId="0" borderId="4" xfId="0" applyFont="1" applyBorder="1" applyAlignment="1">
      <alignment/>
    </xf>
    <xf numFmtId="0" fontId="24" fillId="0" borderId="16" xfId="0" applyFont="1" applyBorder="1" applyAlignment="1">
      <alignment/>
    </xf>
    <xf numFmtId="43" fontId="24" fillId="0" borderId="31" xfId="15" applyFont="1" applyBorder="1" applyAlignment="1">
      <alignment/>
    </xf>
    <xf numFmtId="43" fontId="24" fillId="0" borderId="12" xfId="15" applyFont="1" applyBorder="1" applyAlignment="1">
      <alignment/>
    </xf>
    <xf numFmtId="0" fontId="27" fillId="0" borderId="12" xfId="0" applyFont="1" applyBorder="1" applyAlignment="1">
      <alignment/>
    </xf>
    <xf numFmtId="0" fontId="24" fillId="0" borderId="0" xfId="0" applyFont="1" applyBorder="1" applyAlignment="1">
      <alignment/>
    </xf>
    <xf numFmtId="43" fontId="24" fillId="0" borderId="4" xfId="15" applyFont="1" applyBorder="1" applyAlignment="1">
      <alignment/>
    </xf>
    <xf numFmtId="0" fontId="24" fillId="0" borderId="9" xfId="0" applyFont="1" applyBorder="1" applyAlignment="1">
      <alignment/>
    </xf>
    <xf numFmtId="49" fontId="24" fillId="0" borderId="4" xfId="0" applyNumberFormat="1" applyFont="1" applyBorder="1" applyAlignment="1">
      <alignment horizontal="center"/>
    </xf>
    <xf numFmtId="43" fontId="11" fillId="0" borderId="31" xfId="15" applyFont="1" applyBorder="1" applyAlignment="1">
      <alignment/>
    </xf>
    <xf numFmtId="43" fontId="24" fillId="0" borderId="36" xfId="15" applyFont="1" applyBorder="1" applyAlignment="1">
      <alignment/>
    </xf>
    <xf numFmtId="0" fontId="24" fillId="0" borderId="9" xfId="0" applyFont="1" applyBorder="1" applyAlignment="1">
      <alignment horizontal="center"/>
    </xf>
    <xf numFmtId="43" fontId="28" fillId="0" borderId="0" xfId="0" applyNumberFormat="1" applyFont="1" applyAlignment="1">
      <alignment/>
    </xf>
    <xf numFmtId="43" fontId="24" fillId="0" borderId="0" xfId="15" applyFont="1" applyBorder="1" applyAlignment="1">
      <alignment/>
    </xf>
    <xf numFmtId="43" fontId="24" fillId="0" borderId="1" xfId="15" applyFont="1" applyBorder="1" applyAlignment="1">
      <alignment/>
    </xf>
    <xf numFmtId="43" fontId="24" fillId="0" borderId="1" xfId="15" applyNumberFormat="1" applyFont="1" applyBorder="1" applyAlignment="1">
      <alignment/>
    </xf>
    <xf numFmtId="43" fontId="26" fillId="0" borderId="12" xfId="15" applyFont="1" applyBorder="1" applyAlignment="1">
      <alignment/>
    </xf>
    <xf numFmtId="43" fontId="24" fillId="0" borderId="37" xfId="15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7" xfId="0" applyFont="1" applyBorder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24" fillId="0" borderId="16" xfId="15" applyFont="1" applyBorder="1" applyAlignment="1">
      <alignment/>
    </xf>
    <xf numFmtId="0" fontId="27" fillId="0" borderId="15" xfId="0" applyFont="1" applyBorder="1" applyAlignment="1">
      <alignment/>
    </xf>
    <xf numFmtId="49" fontId="24" fillId="0" borderId="16" xfId="0" applyNumberFormat="1" applyFont="1" applyBorder="1" applyAlignment="1">
      <alignment horizontal="center"/>
    </xf>
    <xf numFmtId="43" fontId="24" fillId="0" borderId="0" xfId="15" applyFont="1" applyAlignment="1">
      <alignment/>
    </xf>
    <xf numFmtId="0" fontId="24" fillId="0" borderId="12" xfId="0" applyFont="1" applyBorder="1" applyAlignment="1">
      <alignment/>
    </xf>
    <xf numFmtId="43" fontId="11" fillId="0" borderId="4" xfId="15" applyFont="1" applyBorder="1" applyAlignment="1">
      <alignment/>
    </xf>
    <xf numFmtId="43" fontId="11" fillId="0" borderId="0" xfId="0" applyNumberFormat="1" applyFont="1" applyAlignment="1">
      <alignment/>
    </xf>
    <xf numFmtId="0" fontId="24" fillId="0" borderId="12" xfId="0" applyFont="1" applyBorder="1" applyAlignment="1">
      <alignment horizontal="center"/>
    </xf>
    <xf numFmtId="43" fontId="11" fillId="0" borderId="1" xfId="15" applyFont="1" applyBorder="1" applyAlignment="1">
      <alignment/>
    </xf>
    <xf numFmtId="0" fontId="26" fillId="0" borderId="12" xfId="0" applyFont="1" applyBorder="1" applyAlignment="1">
      <alignment/>
    </xf>
    <xf numFmtId="43" fontId="24" fillId="0" borderId="4" xfId="0" applyNumberFormat="1" applyFont="1" applyBorder="1" applyAlignment="1">
      <alignment/>
    </xf>
    <xf numFmtId="43" fontId="24" fillId="0" borderId="0" xfId="0" applyNumberFormat="1" applyFont="1" applyBorder="1" applyAlignment="1">
      <alignment/>
    </xf>
    <xf numFmtId="43" fontId="24" fillId="0" borderId="4" xfId="15" applyFont="1" applyBorder="1" applyAlignment="1">
      <alignment horizontal="center"/>
    </xf>
    <xf numFmtId="0" fontId="29" fillId="0" borderId="0" xfId="0" applyFont="1" applyBorder="1" applyAlignment="1">
      <alignment/>
    </xf>
    <xf numFmtId="43" fontId="28" fillId="0" borderId="0" xfId="0" applyNumberFormat="1" applyFont="1" applyBorder="1" applyAlignment="1">
      <alignment/>
    </xf>
    <xf numFmtId="43" fontId="24" fillId="0" borderId="1" xfId="0" applyNumberFormat="1" applyFont="1" applyBorder="1" applyAlignment="1">
      <alignment/>
    </xf>
    <xf numFmtId="43" fontId="24" fillId="0" borderId="9" xfId="15" applyFont="1" applyBorder="1" applyAlignment="1">
      <alignment/>
    </xf>
    <xf numFmtId="43" fontId="28" fillId="0" borderId="9" xfId="0" applyNumberFormat="1" applyFont="1" applyBorder="1" applyAlignment="1">
      <alignment/>
    </xf>
    <xf numFmtId="43" fontId="28" fillId="0" borderId="0" xfId="15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199" fontId="1" fillId="0" borderId="16" xfId="15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43" fontId="2" fillId="0" borderId="1" xfId="15" applyFont="1" applyBorder="1" applyAlignment="1">
      <alignment/>
    </xf>
    <xf numFmtId="199" fontId="2" fillId="0" borderId="1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3" fontId="1" fillId="0" borderId="24" xfId="15" applyFont="1" applyBorder="1" applyAlignment="1">
      <alignment/>
    </xf>
    <xf numFmtId="43" fontId="2" fillId="0" borderId="0" xfId="15" applyFont="1" applyAlignment="1">
      <alignment horizontal="center"/>
    </xf>
    <xf numFmtId="43" fontId="3" fillId="0" borderId="0" xfId="15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49" fontId="10" fillId="0" borderId="0" xfId="0" applyNumberFormat="1" applyFont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7" fillId="0" borderId="4" xfId="0" applyNumberFormat="1" applyFont="1" applyBorder="1" applyAlignment="1">
      <alignment/>
    </xf>
    <xf numFmtId="43" fontId="10" fillId="0" borderId="4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9" fontId="17" fillId="0" borderId="24" xfId="0" applyNumberFormat="1" applyFont="1" applyBorder="1" applyAlignment="1">
      <alignment/>
    </xf>
    <xf numFmtId="43" fontId="10" fillId="0" borderId="24" xfId="15" applyFont="1" applyFill="1" applyBorder="1" applyAlignment="1">
      <alignment/>
    </xf>
    <xf numFmtId="43" fontId="10" fillId="0" borderId="24" xfId="15" applyFont="1" applyBorder="1" applyAlignment="1">
      <alignment/>
    </xf>
    <xf numFmtId="49" fontId="10" fillId="0" borderId="2" xfId="0" applyNumberFormat="1" applyFont="1" applyBorder="1" applyAlignment="1">
      <alignment/>
    </xf>
    <xf numFmtId="43" fontId="10" fillId="0" borderId="2" xfId="15" applyFont="1" applyFill="1" applyBorder="1" applyAlignment="1">
      <alignment/>
    </xf>
    <xf numFmtId="43" fontId="10" fillId="0" borderId="0" xfId="15" applyFont="1" applyFill="1" applyAlignment="1">
      <alignment/>
    </xf>
    <xf numFmtId="49" fontId="10" fillId="0" borderId="7" xfId="0" applyNumberFormat="1" applyFont="1" applyBorder="1" applyAlignment="1">
      <alignment/>
    </xf>
    <xf numFmtId="43" fontId="10" fillId="0" borderId="7" xfId="15" applyFont="1" applyFill="1" applyBorder="1" applyAlignment="1">
      <alignment/>
    </xf>
    <xf numFmtId="43" fontId="10" fillId="0" borderId="14" xfId="15" applyFont="1" applyFill="1" applyBorder="1" applyAlignment="1">
      <alignment/>
    </xf>
    <xf numFmtId="43" fontId="10" fillId="0" borderId="6" xfId="15" applyFont="1" applyFill="1" applyBorder="1" applyAlignment="1">
      <alignment/>
    </xf>
    <xf numFmtId="43" fontId="10" fillId="0" borderId="13" xfId="15" applyFont="1" applyFill="1" applyBorder="1" applyAlignment="1">
      <alignment/>
    </xf>
    <xf numFmtId="43" fontId="10" fillId="0" borderId="12" xfId="15" applyFont="1" applyFill="1" applyBorder="1" applyAlignment="1">
      <alignment/>
    </xf>
    <xf numFmtId="43" fontId="10" fillId="0" borderId="0" xfId="15" applyFont="1" applyFill="1" applyBorder="1" applyAlignment="1">
      <alignment/>
    </xf>
    <xf numFmtId="49" fontId="17" fillId="0" borderId="2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43" fontId="10" fillId="0" borderId="5" xfId="15" applyFont="1" applyFill="1" applyBorder="1" applyAlignment="1">
      <alignment/>
    </xf>
    <xf numFmtId="43" fontId="10" fillId="0" borderId="5" xfId="15" applyFont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3" fontId="10" fillId="0" borderId="0" xfId="0" applyNumberFormat="1" applyFont="1" applyFill="1" applyAlignment="1">
      <alignment/>
    </xf>
    <xf numFmtId="0" fontId="8" fillId="0" borderId="6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43" fontId="1" fillId="0" borderId="9" xfId="15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4" fontId="1" fillId="0" borderId="11" xfId="0" applyNumberFormat="1" applyFont="1" applyBorder="1" applyAlignment="1">
      <alignment/>
    </xf>
    <xf numFmtId="43" fontId="1" fillId="0" borderId="0" xfId="15" applyFont="1" applyAlignment="1">
      <alignment horizontal="center"/>
    </xf>
    <xf numFmtId="0" fontId="0" fillId="0" borderId="2" xfId="0" applyBorder="1" applyAlignment="1">
      <alignment horizontal="center"/>
    </xf>
    <xf numFmtId="39" fontId="1" fillId="0" borderId="2" xfId="15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34" fillId="0" borderId="0" xfId="0" applyFont="1" applyAlignment="1">
      <alignment/>
    </xf>
    <xf numFmtId="0" fontId="9" fillId="0" borderId="0" xfId="0" applyFont="1" applyAlignment="1">
      <alignment horizontal="center"/>
    </xf>
    <xf numFmtId="43" fontId="35" fillId="0" borderId="0" xfId="15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43" fontId="3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43" fontId="1" fillId="0" borderId="38" xfId="15" applyFont="1" applyBorder="1" applyAlignment="1">
      <alignment horizontal="right"/>
    </xf>
    <xf numFmtId="43" fontId="2" fillId="0" borderId="0" xfId="15" applyFont="1" applyAlignment="1">
      <alignment horizontal="left"/>
    </xf>
    <xf numFmtId="43" fontId="13" fillId="0" borderId="0" xfId="15" applyFont="1" applyAlignment="1">
      <alignment/>
    </xf>
    <xf numFmtId="43" fontId="13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43" fontId="4" fillId="0" borderId="24" xfId="15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8" fillId="0" borderId="9" xfId="0" applyFont="1" applyBorder="1" applyAlignment="1">
      <alignment/>
    </xf>
    <xf numFmtId="49" fontId="38" fillId="0" borderId="9" xfId="0" applyNumberFormat="1" applyFont="1" applyBorder="1" applyAlignment="1">
      <alignment/>
    </xf>
    <xf numFmtId="0" fontId="38" fillId="0" borderId="4" xfId="0" applyFont="1" applyBorder="1" applyAlignment="1">
      <alignment/>
    </xf>
    <xf numFmtId="43" fontId="38" fillId="0" borderId="4" xfId="15" applyFont="1" applyBorder="1" applyAlignment="1">
      <alignment/>
    </xf>
    <xf numFmtId="0" fontId="38" fillId="0" borderId="0" xfId="0" applyFont="1" applyBorder="1" applyAlignment="1">
      <alignment/>
    </xf>
    <xf numFmtId="49" fontId="38" fillId="0" borderId="9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199" fontId="38" fillId="0" borderId="4" xfId="15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0" fontId="38" fillId="0" borderId="9" xfId="0" applyFont="1" applyBorder="1" applyAlignment="1">
      <alignment horizontal="center"/>
    </xf>
    <xf numFmtId="43" fontId="38" fillId="0" borderId="1" xfId="15" applyFont="1" applyBorder="1" applyAlignment="1">
      <alignment/>
    </xf>
    <xf numFmtId="199" fontId="38" fillId="0" borderId="1" xfId="15" applyNumberFormat="1" applyFont="1" applyBorder="1" applyAlignment="1">
      <alignment/>
    </xf>
    <xf numFmtId="49" fontId="38" fillId="0" borderId="0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49" fontId="38" fillId="0" borderId="7" xfId="0" applyNumberFormat="1" applyFont="1" applyBorder="1" applyAlignment="1">
      <alignment horizontal="center"/>
    </xf>
    <xf numFmtId="43" fontId="38" fillId="0" borderId="7" xfId="15" applyFont="1" applyBorder="1" applyAlignment="1">
      <alignment/>
    </xf>
    <xf numFmtId="199" fontId="38" fillId="0" borderId="7" xfId="15" applyNumberFormat="1" applyFont="1" applyBorder="1" applyAlignment="1">
      <alignment/>
    </xf>
    <xf numFmtId="49" fontId="38" fillId="0" borderId="16" xfId="0" applyNumberFormat="1" applyFont="1" applyBorder="1" applyAlignment="1">
      <alignment horizontal="center"/>
    </xf>
    <xf numFmtId="43" fontId="38" fillId="0" borderId="16" xfId="15" applyFont="1" applyBorder="1" applyAlignment="1">
      <alignment/>
    </xf>
    <xf numFmtId="199" fontId="38" fillId="0" borderId="16" xfId="15" applyNumberFormat="1" applyFont="1" applyBorder="1" applyAlignment="1">
      <alignment/>
    </xf>
    <xf numFmtId="49" fontId="38" fillId="0" borderId="4" xfId="0" applyNumberFormat="1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43" fontId="39" fillId="0" borderId="29" xfId="15" applyFont="1" applyBorder="1" applyAlignment="1">
      <alignment/>
    </xf>
    <xf numFmtId="43" fontId="39" fillId="0" borderId="1" xfId="15" applyFont="1" applyBorder="1" applyAlignment="1">
      <alignment/>
    </xf>
    <xf numFmtId="43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8" fillId="0" borderId="9" xfId="0" applyFont="1" applyBorder="1" applyAlignment="1">
      <alignment horizontal="left"/>
    </xf>
    <xf numFmtId="199" fontId="39" fillId="0" borderId="1" xfId="15" applyNumberFormat="1" applyFont="1" applyBorder="1" applyAlignment="1">
      <alignment/>
    </xf>
    <xf numFmtId="43" fontId="38" fillId="0" borderId="0" xfId="15" applyFont="1" applyBorder="1" applyAlignment="1">
      <alignment/>
    </xf>
    <xf numFmtId="199" fontId="38" fillId="0" borderId="0" xfId="15" applyNumberFormat="1" applyFont="1" applyBorder="1" applyAlignment="1">
      <alignment/>
    </xf>
    <xf numFmtId="43" fontId="38" fillId="0" borderId="0" xfId="15" applyFont="1" applyBorder="1" applyAlignment="1">
      <alignment horizontal="center"/>
    </xf>
    <xf numFmtId="43" fontId="38" fillId="0" borderId="0" xfId="15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1" xfId="19" applyFont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41" xfId="19" applyFont="1" applyBorder="1" applyAlignment="1">
      <alignment horizontal="center"/>
      <protection/>
    </xf>
    <xf numFmtId="0" fontId="4" fillId="0" borderId="33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42" xfId="19" applyFont="1" applyBorder="1" applyAlignment="1">
      <alignment horizontal="center"/>
      <protection/>
    </xf>
    <xf numFmtId="0" fontId="5" fillId="0" borderId="43" xfId="19" applyFont="1" applyBorder="1" applyAlignment="1">
      <alignment horizontal="center"/>
      <protection/>
    </xf>
    <xf numFmtId="0" fontId="5" fillId="0" borderId="44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30" xfId="19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19" applyFont="1" applyBorder="1" applyAlignment="1">
      <alignment horizontal="center" vertical="center"/>
      <protection/>
    </xf>
    <xf numFmtId="0" fontId="8" fillId="0" borderId="9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6" xfId="19" applyFont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 vertical="center"/>
      <protection/>
    </xf>
    <xf numFmtId="0" fontId="5" fillId="0" borderId="39" xfId="19" applyFont="1" applyBorder="1" applyAlignment="1">
      <alignment horizontal="center"/>
      <protection/>
    </xf>
    <xf numFmtId="0" fontId="5" fillId="0" borderId="40" xfId="19" applyFont="1" applyBorder="1" applyAlignment="1">
      <alignment horizontal="center"/>
      <protection/>
    </xf>
    <xf numFmtId="0" fontId="5" fillId="0" borderId="45" xfId="19" applyFont="1" applyBorder="1" applyAlignment="1">
      <alignment horizontal="center"/>
      <protection/>
    </xf>
    <xf numFmtId="0" fontId="4" fillId="0" borderId="32" xfId="19" applyFont="1" applyBorder="1" applyAlignment="1">
      <alignment horizontal="center"/>
      <protection/>
    </xf>
    <xf numFmtId="0" fontId="5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43" fontId="17" fillId="0" borderId="0" xfId="15" applyFont="1" applyAlignment="1">
      <alignment horizontal="center"/>
    </xf>
    <xf numFmtId="43" fontId="10" fillId="0" borderId="16" xfId="15" applyFont="1" applyBorder="1" applyAlignment="1">
      <alignment horizontal="center" vertical="center"/>
    </xf>
    <xf numFmtId="43" fontId="10" fillId="0" borderId="7" xfId="15" applyFont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25</xdr:row>
      <xdr:rowOff>76200</xdr:rowOff>
    </xdr:from>
    <xdr:to>
      <xdr:col>3</xdr:col>
      <xdr:colOff>542925</xdr:colOff>
      <xdr:row>28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33625" y="7486650"/>
          <a:ext cx="19240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1</xdr:col>
      <xdr:colOff>1104900</xdr:colOff>
      <xdr:row>29</xdr:row>
      <xdr:rowOff>19050</xdr:rowOff>
    </xdr:from>
    <xdr:to>
      <xdr:col>3</xdr:col>
      <xdr:colOff>1695450</xdr:colOff>
      <xdr:row>34</xdr:row>
      <xdr:rowOff>85725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1533525" y="8601075"/>
          <a:ext cx="38766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47625</xdr:rowOff>
    </xdr:from>
    <xdr:to>
      <xdr:col>0</xdr:col>
      <xdr:colOff>1847850</xdr:colOff>
      <xdr:row>24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5667375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0</xdr:col>
      <xdr:colOff>2352675</xdr:colOff>
      <xdr:row>20</xdr:row>
      <xdr:rowOff>76200</xdr:rowOff>
    </xdr:from>
    <xdr:to>
      <xdr:col>3</xdr:col>
      <xdr:colOff>647700</xdr:colOff>
      <xdr:row>27</xdr:row>
      <xdr:rowOff>28575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2352675" y="5429250"/>
          <a:ext cx="3543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(นางสุรีรัตน์   พูนเพ็ง)
หัวหน้าส่วนการคลัง
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3</xdr:col>
      <xdr:colOff>1743075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0"/>
          <a:ext cx="2162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ร้อยเอก………………….……………
(สุพรชัย  เศวตมาลย์)
ปลัดองค์การบริหารส่วนตำบลบ้านใหม่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3382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1695450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43150" y="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0</xdr:row>
      <xdr:rowOff>0</xdr:rowOff>
    </xdr:from>
    <xdr:to>
      <xdr:col>5</xdr:col>
      <xdr:colOff>1104900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24350" y="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3382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895350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52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(นางสุรีรัตน์   บุญหมื่นไวย)
หัวหน้าส่วนการคลัง
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3</xdr:col>
      <xdr:colOff>1647825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00275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ร.อ………………………….
(สุพรชัย  เศวตมาลย์)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1800225</xdr:colOff>
      <xdr:row>0</xdr:row>
      <xdr:rowOff>0</xdr:rowOff>
    </xdr:from>
    <xdr:to>
      <xdr:col>5</xdr:col>
      <xdr:colOff>1162050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238625" y="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1695450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43150" y="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0</xdr:row>
      <xdr:rowOff>0</xdr:rowOff>
    </xdr:from>
    <xdr:to>
      <xdr:col>5</xdr:col>
      <xdr:colOff>1104900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24350" y="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667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(นางธัญญลักษณ์  นรินทร์วรกาล)
หัวหน้าส่วนการคลัง
</a:t>
          </a:r>
        </a:p>
      </xdr:txBody>
    </xdr:sp>
    <xdr:clientData/>
  </xdr:twoCellAnchor>
  <xdr:twoCellAnchor>
    <xdr:from>
      <xdr:col>3</xdr:col>
      <xdr:colOff>962025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00425" y="0"/>
          <a:ext cx="3267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 ปฏิบัติหน้าที่
นายกองค์การบริหารส่วตำบลบ้านใหม่
</a:t>
          </a:r>
        </a:p>
      </xdr:txBody>
    </xdr:sp>
    <xdr:clientData/>
  </xdr:twoCellAnchor>
  <xdr:twoCellAnchor>
    <xdr:from>
      <xdr:col>0</xdr:col>
      <xdr:colOff>790575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90575" y="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(นางธัญญลักษณ์  นรินทร์วรกาล)
หัวหน้าส่วนการคลัง
</a:t>
          </a:r>
        </a:p>
      </xdr:txBody>
    </xdr:sp>
    <xdr:clientData/>
  </xdr:twoCellAnchor>
  <xdr:twoCellAnchor>
    <xdr:from>
      <xdr:col>3</xdr:col>
      <xdr:colOff>1047750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486150" y="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
(สุพรชัย  เศวตมาลย์)
ปลัดองค์การบริหารส่วนตำบล  ปฏิบัติหน้าที่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1695450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43150" y="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0</xdr:row>
      <xdr:rowOff>0</xdr:rowOff>
    </xdr:from>
    <xdr:to>
      <xdr:col>5</xdr:col>
      <xdr:colOff>1104900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24350" y="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62</xdr:row>
      <xdr:rowOff>0</xdr:rowOff>
    </xdr:from>
    <xdr:to>
      <xdr:col>3</xdr:col>
      <xdr:colOff>1695450</xdr:colOff>
      <xdr:row>62</xdr:row>
      <xdr:rowOff>28575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343150" y="14792325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62</xdr:row>
      <xdr:rowOff>0</xdr:rowOff>
    </xdr:from>
    <xdr:to>
      <xdr:col>5</xdr:col>
      <xdr:colOff>1104900</xdr:colOff>
      <xdr:row>62</xdr:row>
      <xdr:rowOff>28575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324350" y="14792325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63</xdr:row>
      <xdr:rowOff>0</xdr:rowOff>
    </xdr:from>
    <xdr:to>
      <xdr:col>3</xdr:col>
      <xdr:colOff>1695450</xdr:colOff>
      <xdr:row>63</xdr:row>
      <xdr:rowOff>28575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43150" y="1503045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63</xdr:row>
      <xdr:rowOff>0</xdr:rowOff>
    </xdr:from>
    <xdr:to>
      <xdr:col>5</xdr:col>
      <xdr:colOff>1104900</xdr:colOff>
      <xdr:row>63</xdr:row>
      <xdr:rowOff>28575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324350" y="15030450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1885950</xdr:colOff>
      <xdr:row>69</xdr:row>
      <xdr:rowOff>0</xdr:rowOff>
    </xdr:from>
    <xdr:to>
      <xdr:col>5</xdr:col>
      <xdr:colOff>1104900</xdr:colOff>
      <xdr:row>69</xdr:row>
      <xdr:rowOff>28575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324350" y="16468725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190500</xdr:colOff>
      <xdr:row>41</xdr:row>
      <xdr:rowOff>38100</xdr:rowOff>
    </xdr:from>
    <xdr:to>
      <xdr:col>2</xdr:col>
      <xdr:colOff>180975</xdr:colOff>
      <xdr:row>45</xdr:row>
      <xdr:rowOff>57150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190500" y="9810750"/>
          <a:ext cx="208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………………………….
(นางปริณดา  รุ่งเรือง)
  ผู้อำนวยการกองคลัง
</a:t>
          </a:r>
        </a:p>
      </xdr:txBody>
    </xdr:sp>
    <xdr:clientData/>
  </xdr:twoCellAnchor>
  <xdr:twoCellAnchor>
    <xdr:from>
      <xdr:col>2</xdr:col>
      <xdr:colOff>247650</xdr:colOff>
      <xdr:row>78</xdr:row>
      <xdr:rowOff>0</xdr:rowOff>
    </xdr:from>
    <xdr:to>
      <xdr:col>3</xdr:col>
      <xdr:colOff>1695450</xdr:colOff>
      <xdr:row>78</xdr:row>
      <xdr:rowOff>28575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2343150" y="18621375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(นายเลิศนุวัฒน์   วันสา)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78</xdr:row>
      <xdr:rowOff>0</xdr:rowOff>
    </xdr:from>
    <xdr:to>
      <xdr:col>5</xdr:col>
      <xdr:colOff>1104900</xdr:colOff>
      <xdr:row>78</xdr:row>
      <xdr:rowOff>28575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24350" y="18621375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(นางสุรัตน์   กรใหม่)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142875</xdr:colOff>
      <xdr:row>87</xdr:row>
      <xdr:rowOff>57150</xdr:rowOff>
    </xdr:from>
    <xdr:to>
      <xdr:col>3</xdr:col>
      <xdr:colOff>123825</xdr:colOff>
      <xdr:row>90</xdr:row>
      <xdr:rowOff>85725</xdr:rowOff>
    </xdr:to>
    <xdr:sp>
      <xdr:nvSpPr>
        <xdr:cNvPr id="26" name="Text Box 6"/>
        <xdr:cNvSpPr txBox="1">
          <a:spLocks noChangeArrowheads="1"/>
        </xdr:cNvSpPr>
      </xdr:nvSpPr>
      <xdr:spPr>
        <a:xfrm>
          <a:off x="142875" y="20859750"/>
          <a:ext cx="24193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………………………….
(นางปริณดา  รุ่งเรือง)
 ผู้อำนวยการกองคลัง
</a:t>
          </a:r>
        </a:p>
      </xdr:txBody>
    </xdr:sp>
    <xdr:clientData/>
  </xdr:twoCellAnchor>
  <xdr:twoCellAnchor>
    <xdr:from>
      <xdr:col>3</xdr:col>
      <xdr:colOff>571500</xdr:colOff>
      <xdr:row>41</xdr:row>
      <xdr:rowOff>0</xdr:rowOff>
    </xdr:from>
    <xdr:to>
      <xdr:col>5</xdr:col>
      <xdr:colOff>838200</xdr:colOff>
      <xdr:row>46</xdr:row>
      <xdr:rowOff>114300</xdr:rowOff>
    </xdr:to>
    <xdr:sp>
      <xdr:nvSpPr>
        <xdr:cNvPr id="27" name="Text Box 217"/>
        <xdr:cNvSpPr txBox="1">
          <a:spLocks noChangeArrowheads="1"/>
        </xdr:cNvSpPr>
      </xdr:nvSpPr>
      <xdr:spPr>
        <a:xfrm>
          <a:off x="3009900" y="9772650"/>
          <a:ext cx="3543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  <xdr:twoCellAnchor>
    <xdr:from>
      <xdr:col>3</xdr:col>
      <xdr:colOff>571500</xdr:colOff>
      <xdr:row>86</xdr:row>
      <xdr:rowOff>66675</xdr:rowOff>
    </xdr:from>
    <xdr:to>
      <xdr:col>5</xdr:col>
      <xdr:colOff>838200</xdr:colOff>
      <xdr:row>92</xdr:row>
      <xdr:rowOff>219075</xdr:rowOff>
    </xdr:to>
    <xdr:sp>
      <xdr:nvSpPr>
        <xdr:cNvPr id="28" name="Text Box 217"/>
        <xdr:cNvSpPr txBox="1">
          <a:spLocks noChangeArrowheads="1"/>
        </xdr:cNvSpPr>
      </xdr:nvSpPr>
      <xdr:spPr>
        <a:xfrm>
          <a:off x="3009900" y="20631150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180975</xdr:rowOff>
    </xdr:from>
    <xdr:to>
      <xdr:col>1</xdr:col>
      <xdr:colOff>1047750</xdr:colOff>
      <xdr:row>47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477750"/>
          <a:ext cx="37719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(ลงชื่อ)…………............................……………….
ผู้อำนวยการกองคลังองค์การบริหารส่วนตำบลบ้านใหม่
</a:t>
          </a:r>
        </a:p>
      </xdr:txBody>
    </xdr:sp>
    <xdr:clientData/>
  </xdr:twoCellAnchor>
  <xdr:twoCellAnchor>
    <xdr:from>
      <xdr:col>1</xdr:col>
      <xdr:colOff>1047750</xdr:colOff>
      <xdr:row>42</xdr:row>
      <xdr:rowOff>171450</xdr:rowOff>
    </xdr:from>
    <xdr:to>
      <xdr:col>3</xdr:col>
      <xdr:colOff>295275</xdr:colOff>
      <xdr:row>46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71900" y="12468225"/>
          <a:ext cx="1343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(ลงชื่อ)…………………………. 
       ปลัดองค์การบริหารส่วนตำบลบ้านใหม่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247650</xdr:colOff>
      <xdr:row>42</xdr:row>
      <xdr:rowOff>180975</xdr:rowOff>
    </xdr:from>
    <xdr:to>
      <xdr:col>4</xdr:col>
      <xdr:colOff>1047750</xdr:colOff>
      <xdr:row>46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67300" y="12477750"/>
          <a:ext cx="1724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(ลงชื่อ)…………………......…….........
นายกองค์การบริหารส่วนตำบลบ้านใหม่ </a:t>
          </a:r>
        </a:p>
      </xdr:txBody>
    </xdr:sp>
    <xdr:clientData/>
  </xdr:twoCellAnchor>
  <xdr:twoCellAnchor>
    <xdr:from>
      <xdr:col>0</xdr:col>
      <xdr:colOff>400050</xdr:colOff>
      <xdr:row>16</xdr:row>
      <xdr:rowOff>114300</xdr:rowOff>
    </xdr:from>
    <xdr:to>
      <xdr:col>0</xdr:col>
      <xdr:colOff>2238375</xdr:colOff>
      <xdr:row>19</xdr:row>
      <xdr:rowOff>266700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" y="4943475"/>
          <a:ext cx="18383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(นางปริณดา  รุ่งเรือง) 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ผู้อำนวยการกองคลัง
</a:t>
          </a:r>
        </a:p>
      </xdr:txBody>
    </xdr:sp>
    <xdr:clientData/>
  </xdr:twoCellAnchor>
  <xdr:twoCellAnchor>
    <xdr:from>
      <xdr:col>1</xdr:col>
      <xdr:colOff>266700</xdr:colOff>
      <xdr:row>15</xdr:row>
      <xdr:rowOff>190500</xdr:rowOff>
    </xdr:from>
    <xdr:to>
      <xdr:col>4</xdr:col>
      <xdr:colOff>790575</xdr:colOff>
      <xdr:row>21</xdr:row>
      <xdr:rowOff>28575</xdr:rowOff>
    </xdr:to>
    <xdr:sp>
      <xdr:nvSpPr>
        <xdr:cNvPr id="5" name="Text Box 217"/>
        <xdr:cNvSpPr txBox="1">
          <a:spLocks noChangeArrowheads="1"/>
        </xdr:cNvSpPr>
      </xdr:nvSpPr>
      <xdr:spPr>
        <a:xfrm>
          <a:off x="2990850" y="4724400"/>
          <a:ext cx="3543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190500</xdr:rowOff>
    </xdr:from>
    <xdr:to>
      <xdr:col>1</xdr:col>
      <xdr:colOff>1466850</xdr:colOff>
      <xdr:row>46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82150"/>
          <a:ext cx="18288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………………………….
(นางปริณดา  รุ่งเรือง)
ผู้อำนวยการกองคลัง
</a:t>
          </a:r>
        </a:p>
      </xdr:txBody>
    </xdr:sp>
    <xdr:clientData/>
  </xdr:twoCellAnchor>
  <xdr:twoCellAnchor>
    <xdr:from>
      <xdr:col>1</xdr:col>
      <xdr:colOff>2162175</xdr:colOff>
      <xdr:row>40</xdr:row>
      <xdr:rowOff>76200</xdr:rowOff>
    </xdr:from>
    <xdr:to>
      <xdr:col>4</xdr:col>
      <xdr:colOff>590550</xdr:colOff>
      <xdr:row>46</xdr:row>
      <xdr:rowOff>190500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2524125" y="9239250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68</xdr:row>
      <xdr:rowOff>209550</xdr:rowOff>
    </xdr:from>
    <xdr:to>
      <xdr:col>1</xdr:col>
      <xdr:colOff>1866900</xdr:colOff>
      <xdr:row>72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" y="20288250"/>
          <a:ext cx="18383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ผู้อำนวยการกองคลัง
</a:t>
          </a:r>
        </a:p>
      </xdr:txBody>
    </xdr:sp>
    <xdr:clientData/>
  </xdr:twoCellAnchor>
  <xdr:twoCellAnchor>
    <xdr:from>
      <xdr:col>2</xdr:col>
      <xdr:colOff>0</xdr:colOff>
      <xdr:row>67</xdr:row>
      <xdr:rowOff>219075</xdr:rowOff>
    </xdr:from>
    <xdr:to>
      <xdr:col>5</xdr:col>
      <xdr:colOff>895350</xdr:colOff>
      <xdr:row>73</xdr:row>
      <xdr:rowOff>57150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3495675" y="20002500"/>
          <a:ext cx="34385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69</xdr:row>
      <xdr:rowOff>266700</xdr:rowOff>
    </xdr:from>
    <xdr:to>
      <xdr:col>5</xdr:col>
      <xdr:colOff>57150</xdr:colOff>
      <xdr:row>75</xdr:row>
      <xdr:rowOff>104775</xdr:rowOff>
    </xdr:to>
    <xdr:sp>
      <xdr:nvSpPr>
        <xdr:cNvPr id="1" name="Text Box 217"/>
        <xdr:cNvSpPr txBox="1">
          <a:spLocks noChangeArrowheads="1"/>
        </xdr:cNvSpPr>
      </xdr:nvSpPr>
      <xdr:spPr>
        <a:xfrm>
          <a:off x="1914525" y="19345275"/>
          <a:ext cx="41814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             ……………………….........
                                  (นางสาวสุรีย์  พิมพ์ปรุ) 
               รองปลัดองค์การบริหารส่วนตำบล รักษาราชการแทน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25</xdr:row>
      <xdr:rowOff>276225</xdr:rowOff>
    </xdr:from>
    <xdr:to>
      <xdr:col>1</xdr:col>
      <xdr:colOff>1533525</xdr:colOff>
      <xdr:row>29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7905750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1</xdr:col>
      <xdr:colOff>2305050</xdr:colOff>
      <xdr:row>25</xdr:row>
      <xdr:rowOff>47625</xdr:rowOff>
    </xdr:from>
    <xdr:to>
      <xdr:col>3</xdr:col>
      <xdr:colOff>1343025</xdr:colOff>
      <xdr:row>30</xdr:row>
      <xdr:rowOff>123825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2619375" y="7677150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21</xdr:row>
      <xdr:rowOff>114300</xdr:rowOff>
    </xdr:from>
    <xdr:to>
      <xdr:col>7</xdr:col>
      <xdr:colOff>504825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15150" y="5953125"/>
          <a:ext cx="2676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……………………….........
(นายไพโรจน์   พึ่งทหาร)
นายกองค์การบริหารส่วนตำบล</a:t>
          </a:r>
        </a:p>
      </xdr:txBody>
    </xdr:sp>
    <xdr:clientData/>
  </xdr:twoCellAnchor>
  <xdr:twoCellAnchor>
    <xdr:from>
      <xdr:col>0</xdr:col>
      <xdr:colOff>333375</xdr:colOff>
      <xdr:row>21</xdr:row>
      <xdr:rowOff>104775</xdr:rowOff>
    </xdr:from>
    <xdr:to>
      <xdr:col>1</xdr:col>
      <xdr:colOff>2390775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5943600"/>
          <a:ext cx="24384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………………………….
(นางปริณดา  รุ่งเรือง)
 ผู้อำนวยการกองคลัง</a:t>
          </a:r>
        </a:p>
      </xdr:txBody>
    </xdr:sp>
    <xdr:clientData/>
  </xdr:twoCellAnchor>
  <xdr:twoCellAnchor>
    <xdr:from>
      <xdr:col>1</xdr:col>
      <xdr:colOff>2828925</xdr:colOff>
      <xdr:row>21</xdr:row>
      <xdr:rowOff>85725</xdr:rowOff>
    </xdr:from>
    <xdr:to>
      <xdr:col>5</xdr:col>
      <xdr:colOff>571500</xdr:colOff>
      <xdr:row>26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9925" y="5924550"/>
          <a:ext cx="33147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……...………………….........
(นางสาวสุรีย์  พิมพ์ปรุ)
รองปลัดองค์การบริหารส่วนตำบล รักษาราชการแทน
ปลัดองค์การบริหารส่วนตำบล 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26</xdr:row>
      <xdr:rowOff>95250</xdr:rowOff>
    </xdr:from>
    <xdr:to>
      <xdr:col>2</xdr:col>
      <xdr:colOff>666750</xdr:colOff>
      <xdr:row>30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6038850"/>
          <a:ext cx="21431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    ………………………….
  (นางปริณดา  รุ่งเรือง)
 ผู้อำนวยการกองคลัง</a:t>
          </a:r>
        </a:p>
      </xdr:txBody>
    </xdr:sp>
    <xdr:clientData/>
  </xdr:twoCellAnchor>
  <xdr:twoCellAnchor>
    <xdr:from>
      <xdr:col>4</xdr:col>
      <xdr:colOff>228600</xdr:colOff>
      <xdr:row>25</xdr:row>
      <xdr:rowOff>28575</xdr:rowOff>
    </xdr:from>
    <xdr:to>
      <xdr:col>6</xdr:col>
      <xdr:colOff>1809750</xdr:colOff>
      <xdr:row>31</xdr:row>
      <xdr:rowOff>209550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4848225" y="5762625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41</xdr:row>
      <xdr:rowOff>200025</xdr:rowOff>
    </xdr:from>
    <xdr:to>
      <xdr:col>0</xdr:col>
      <xdr:colOff>2428875</xdr:colOff>
      <xdr:row>46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90575" y="11039475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4</xdr:col>
      <xdr:colOff>495300</xdr:colOff>
      <xdr:row>40</xdr:row>
      <xdr:rowOff>190500</xdr:rowOff>
    </xdr:from>
    <xdr:to>
      <xdr:col>8</xdr:col>
      <xdr:colOff>666750</xdr:colOff>
      <xdr:row>47</xdr:row>
      <xdr:rowOff>133350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5686425" y="10810875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16</xdr:row>
      <xdr:rowOff>190500</xdr:rowOff>
    </xdr:from>
    <xdr:to>
      <xdr:col>1</xdr:col>
      <xdr:colOff>3143250</xdr:colOff>
      <xdr:row>19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57425" y="4962525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1</xdr:col>
      <xdr:colOff>571500</xdr:colOff>
      <xdr:row>20</xdr:row>
      <xdr:rowOff>161925</xdr:rowOff>
    </xdr:from>
    <xdr:to>
      <xdr:col>2</xdr:col>
      <xdr:colOff>133350</xdr:colOff>
      <xdr:row>25</xdr:row>
      <xdr:rowOff>238125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1323975" y="6115050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85725</xdr:rowOff>
    </xdr:from>
    <xdr:to>
      <xdr:col>8</xdr:col>
      <xdr:colOff>400050</xdr:colOff>
      <xdr:row>85</xdr:row>
      <xdr:rowOff>133350</xdr:rowOff>
    </xdr:to>
    <xdr:sp>
      <xdr:nvSpPr>
        <xdr:cNvPr id="1" name="Text Box 217"/>
        <xdr:cNvSpPr txBox="1">
          <a:spLocks noChangeArrowheads="1"/>
        </xdr:cNvSpPr>
      </xdr:nvSpPr>
      <xdr:spPr>
        <a:xfrm>
          <a:off x="4933950" y="18192750"/>
          <a:ext cx="3543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19</xdr:row>
      <xdr:rowOff>38100</xdr:rowOff>
    </xdr:from>
    <xdr:to>
      <xdr:col>4</xdr:col>
      <xdr:colOff>1038225</xdr:colOff>
      <xdr:row>22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5572125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2</xdr:col>
      <xdr:colOff>276225</xdr:colOff>
      <xdr:row>23</xdr:row>
      <xdr:rowOff>95250</xdr:rowOff>
    </xdr:from>
    <xdr:to>
      <xdr:col>5</xdr:col>
      <xdr:colOff>457200</xdr:colOff>
      <xdr:row>28</xdr:row>
      <xdr:rowOff>266700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1362075" y="6734175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12</xdr:row>
      <xdr:rowOff>85725</xdr:rowOff>
    </xdr:from>
    <xdr:to>
      <xdr:col>1</xdr:col>
      <xdr:colOff>3076575</xdr:colOff>
      <xdr:row>15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0" y="3609975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1</xdr:col>
      <xdr:colOff>495300</xdr:colOff>
      <xdr:row>16</xdr:row>
      <xdr:rowOff>152400</xdr:rowOff>
    </xdr:from>
    <xdr:to>
      <xdr:col>1</xdr:col>
      <xdr:colOff>4038600</xdr:colOff>
      <xdr:row>21</xdr:row>
      <xdr:rowOff>228600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1247775" y="4857750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20</xdr:row>
      <xdr:rowOff>76200</xdr:rowOff>
    </xdr:from>
    <xdr:to>
      <xdr:col>1</xdr:col>
      <xdr:colOff>3086100</xdr:colOff>
      <xdr:row>23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0275" y="6000750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………………………….
(นางปริณดา  รุ่งเรือง)
  ผู้อำนวยการกองคลัง
</a:t>
          </a:r>
        </a:p>
      </xdr:txBody>
    </xdr:sp>
    <xdr:clientData/>
  </xdr:twoCellAnchor>
  <xdr:twoCellAnchor>
    <xdr:from>
      <xdr:col>1</xdr:col>
      <xdr:colOff>133350</xdr:colOff>
      <xdr:row>24</xdr:row>
      <xdr:rowOff>152400</xdr:rowOff>
    </xdr:from>
    <xdr:to>
      <xdr:col>1</xdr:col>
      <xdr:colOff>4276725</xdr:colOff>
      <xdr:row>29</xdr:row>
      <xdr:rowOff>228600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885825" y="7258050"/>
          <a:ext cx="41433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(สุพรชัย  เศวตมาลย์)           
                  ปลัดองค์การบริหารส่วนตำบล ปฏิบัติหน้าที่
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66675</xdr:rowOff>
    </xdr:from>
    <xdr:to>
      <xdr:col>0</xdr:col>
      <xdr:colOff>2533650</xdr:colOff>
      <xdr:row>24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6267450"/>
          <a:ext cx="20002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………………………….
(นางปริณดา  รุ่งเรือง)
ผู้อำนวยการกองคลัง</a:t>
          </a:r>
        </a:p>
      </xdr:txBody>
    </xdr:sp>
    <xdr:clientData/>
  </xdr:twoCellAnchor>
  <xdr:twoCellAnchor>
    <xdr:from>
      <xdr:col>0</xdr:col>
      <xdr:colOff>4305300</xdr:colOff>
      <xdr:row>20</xdr:row>
      <xdr:rowOff>76200</xdr:rowOff>
    </xdr:from>
    <xdr:to>
      <xdr:col>4</xdr:col>
      <xdr:colOff>447675</xdr:colOff>
      <xdr:row>25</xdr:row>
      <xdr:rowOff>142875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4305300" y="5981700"/>
          <a:ext cx="39338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22</xdr:row>
      <xdr:rowOff>161925</xdr:rowOff>
    </xdr:from>
    <xdr:to>
      <xdr:col>2</xdr:col>
      <xdr:colOff>314325</xdr:colOff>
      <xdr:row>27</xdr:row>
      <xdr:rowOff>238125</xdr:rowOff>
    </xdr:to>
    <xdr:sp>
      <xdr:nvSpPr>
        <xdr:cNvPr id="1" name="Text Box 217"/>
        <xdr:cNvSpPr txBox="1">
          <a:spLocks noChangeArrowheads="1"/>
        </xdr:cNvSpPr>
      </xdr:nvSpPr>
      <xdr:spPr>
        <a:xfrm>
          <a:off x="1362075" y="6638925"/>
          <a:ext cx="39147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  (สุพรชัย  เศวตมาลย์)           
                        ปลัดองค์การบริหารส่วนตำบล ปฏิบัติหน้าที่
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17</xdr:row>
      <xdr:rowOff>38100</xdr:rowOff>
    </xdr:from>
    <xdr:to>
      <xdr:col>3</xdr:col>
      <xdr:colOff>828675</xdr:colOff>
      <xdr:row>20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71750" y="5095875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2</xdr:col>
      <xdr:colOff>590550</xdr:colOff>
      <xdr:row>21</xdr:row>
      <xdr:rowOff>123825</xdr:rowOff>
    </xdr:from>
    <xdr:to>
      <xdr:col>4</xdr:col>
      <xdr:colOff>742950</xdr:colOff>
      <xdr:row>26</xdr:row>
      <xdr:rowOff>200025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1628775" y="6362700"/>
          <a:ext cx="3543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37</xdr:row>
      <xdr:rowOff>171450</xdr:rowOff>
    </xdr:from>
    <xdr:to>
      <xdr:col>0</xdr:col>
      <xdr:colOff>1847850</xdr:colOff>
      <xdr:row>41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10001250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(นางปริณดา  รุ่งเรือง)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ผู้อำนวยการกองคลัง
</a:t>
          </a:r>
        </a:p>
      </xdr:txBody>
    </xdr:sp>
    <xdr:clientData/>
  </xdr:twoCellAnchor>
  <xdr:twoCellAnchor>
    <xdr:from>
      <xdr:col>0</xdr:col>
      <xdr:colOff>2524125</xdr:colOff>
      <xdr:row>36</xdr:row>
      <xdr:rowOff>104775</xdr:rowOff>
    </xdr:from>
    <xdr:to>
      <xdr:col>3</xdr:col>
      <xdr:colOff>819150</xdr:colOff>
      <xdr:row>42</xdr:row>
      <xdr:rowOff>47625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2524125" y="9658350"/>
          <a:ext cx="3933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
                     ร้อยเอก  ……………………….........
                                  (สุพรชัย  เศวตมาลย์)           
                     ปลัดองค์การบริหารส่วนตำบล ปฏิบัติหน้าที่
        ปลัดเทศบาลตำบล ปฏิบัติหน้าที่ นายกเทศมนตรีตำบลบ้านใหม่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585;&#3657;&#3617;&#3610;&#3640;&#3659;&#3617;\&#3591;&#3634;&#3609;&#3585;&#3634;&#3619;&#3648;&#3591;&#3636;&#3609;&#3611;&#3633;&#3592;&#3592;&#3640;&#3610;&#3633;&#3609;&#3626;&#3640;&#3619;&#3632;\&#3591;&#3610;&#3611;&#3619;&#3632;&#3592;&#3635;&#3648;&#3604;&#3639;&#3629;&#3609;\&#3591;&#3610;&#3648;&#3604;&#3639;&#3629;&#3609;&#3629;&#3610;&#3605;.55\13.%20&#3648;&#3604;&#3639;&#3629;&#3609;%20&#3585;&#3633;&#3609;&#3618;&#3634;&#3618;&#3609;%20%202555.l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ายงานกระแสเงินสด"/>
      <sheetName val="รับ-จ่าย"/>
      <sheetName val="หมายเหตุ2"/>
      <sheetName val="หมายเหตุ1"/>
      <sheetName val="ส่งจังหวัด"/>
      <sheetName val="ฐานะการเงิน"/>
      <sheetName val="Sheet3"/>
      <sheetName val="Sheet2"/>
      <sheetName val="Sheet1"/>
      <sheetName val="งบประมาณคงเหลือ"/>
      <sheetName val="จ่ายจากรายรับ"/>
      <sheetName val="Sheet4"/>
      <sheetName val="อัมพวัน"/>
      <sheetName val="ออม"/>
      <sheetName val="เศรษฐกิจ"/>
    </sheetNames>
    <sheetDataSet>
      <sheetData sheetId="13">
        <row r="4">
          <cell r="A4" t="str">
            <v>ยอดเงินคงเหลือตามรายงานธนาคาร ณ วันที่   30  กันยายน   2555</v>
          </cell>
        </row>
        <row r="28">
          <cell r="A28" t="str">
            <v>ยอดคงเหลือตามบัญชี ณ วันที่   30  กันยายน   2555</v>
          </cell>
        </row>
        <row r="30">
          <cell r="A30" t="str">
            <v>ลงชื่อ.......................................วันที่.  30  กันยายน  2555</v>
          </cell>
        </row>
      </sheetData>
      <sheetData sheetId="14">
        <row r="4">
          <cell r="A4" t="str">
            <v>ยอดเงินคงเหลือตามรายงานธนาคาร ณ วันที่   30  กันยายน   2555</v>
          </cell>
        </row>
        <row r="59">
          <cell r="A59" t="str">
            <v>ยอดคงเหลือตามบัญชี ณ วันที่   30  กันยายน   2555</v>
          </cell>
        </row>
        <row r="61">
          <cell r="A61" t="str">
            <v>ลงชื่อ.......................................วันที่.  30  กันยายน  2555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2" sqref="D12"/>
    </sheetView>
  </sheetViews>
  <sheetFormatPr defaultColWidth="9.140625" defaultRowHeight="21.75"/>
  <cols>
    <col min="1" max="1" width="6.421875" style="46" customWidth="1"/>
    <col min="2" max="2" width="32.28125" style="46" customWidth="1"/>
    <col min="3" max="3" width="17.00390625" style="46" customWidth="1"/>
    <col min="4" max="4" width="26.7109375" style="46" customWidth="1"/>
    <col min="5" max="5" width="16.00390625" style="46" customWidth="1"/>
    <col min="6" max="16384" width="9.140625" style="46" customWidth="1"/>
  </cols>
  <sheetData>
    <row r="1" spans="1:5" ht="23.25">
      <c r="A1" s="581" t="s">
        <v>799</v>
      </c>
      <c r="B1" s="581"/>
      <c r="C1" s="581"/>
      <c r="D1" s="581"/>
      <c r="E1" s="581"/>
    </row>
    <row r="2" spans="1:5" ht="23.25">
      <c r="A2" s="584" t="s">
        <v>684</v>
      </c>
      <c r="B2" s="584"/>
      <c r="C2" s="584"/>
      <c r="D2" s="584"/>
      <c r="E2" s="584"/>
    </row>
    <row r="3" spans="1:5" ht="23.25">
      <c r="A3" s="584" t="s">
        <v>188</v>
      </c>
      <c r="B3" s="584"/>
      <c r="C3" s="584"/>
      <c r="D3" s="584"/>
      <c r="E3" s="584"/>
    </row>
    <row r="4" spans="1:5" ht="23.25">
      <c r="A4" s="584" t="s">
        <v>812</v>
      </c>
      <c r="B4" s="584"/>
      <c r="C4" s="584"/>
      <c r="D4" s="584"/>
      <c r="E4" s="584"/>
    </row>
    <row r="5" spans="1:5" ht="23.25">
      <c r="A5"/>
      <c r="B5"/>
      <c r="C5"/>
      <c r="D5"/>
      <c r="E5"/>
    </row>
    <row r="6" spans="1:5" ht="23.25">
      <c r="A6" s="583" t="s">
        <v>657</v>
      </c>
      <c r="B6" s="583"/>
      <c r="C6" s="226" t="s">
        <v>658</v>
      </c>
      <c r="D6" s="226" t="s">
        <v>659</v>
      </c>
      <c r="E6" s="226" t="s">
        <v>92</v>
      </c>
    </row>
    <row r="7" spans="1:5" ht="23.25">
      <c r="A7" s="349" t="s">
        <v>95</v>
      </c>
      <c r="B7" s="305"/>
      <c r="C7" s="227"/>
      <c r="D7" s="305" t="s">
        <v>98</v>
      </c>
      <c r="E7" s="305">
        <f>58626357.98+206590-39000-45205722.39+169200</f>
        <v>13757425.589999996</v>
      </c>
    </row>
    <row r="8" spans="1:5" ht="23.25">
      <c r="A8" s="248"/>
      <c r="B8" s="350" t="s">
        <v>93</v>
      </c>
      <c r="C8" s="231"/>
      <c r="D8" s="254" t="s">
        <v>99</v>
      </c>
      <c r="E8" s="254">
        <f>7889969-4227000</f>
        <v>3662969</v>
      </c>
    </row>
    <row r="9" spans="1:5" ht="23.25">
      <c r="A9" s="248"/>
      <c r="B9" s="307" t="s">
        <v>94</v>
      </c>
      <c r="C9" s="254">
        <v>15749194</v>
      </c>
      <c r="D9" s="254" t="s">
        <v>100</v>
      </c>
      <c r="E9" s="254">
        <v>680906</v>
      </c>
    </row>
    <row r="10" spans="1:5" ht="23.25">
      <c r="A10" s="248" t="s">
        <v>96</v>
      </c>
      <c r="B10" s="307"/>
      <c r="C10" s="254"/>
      <c r="D10" s="254" t="s">
        <v>101</v>
      </c>
      <c r="E10" s="254">
        <f>94450+15000+7800+620000</f>
        <v>737250</v>
      </c>
    </row>
    <row r="11" spans="1:5" ht="23.25">
      <c r="A11" s="231"/>
      <c r="B11" s="350" t="s">
        <v>232</v>
      </c>
      <c r="C11" s="254">
        <v>11046733.69</v>
      </c>
      <c r="D11" s="254" t="s">
        <v>102</v>
      </c>
      <c r="E11" s="254">
        <f>28508478+4106780+4401000+96000-17591208+4295000</f>
        <v>23816050</v>
      </c>
    </row>
    <row r="12" spans="1:5" ht="23.25">
      <c r="A12" s="248"/>
      <c r="B12" s="307" t="s">
        <v>638</v>
      </c>
      <c r="C12" s="254">
        <v>25000</v>
      </c>
      <c r="D12" s="254"/>
      <c r="E12" s="254"/>
    </row>
    <row r="13" spans="1:5" ht="23.25">
      <c r="A13" s="248"/>
      <c r="B13" s="307" t="s">
        <v>637</v>
      </c>
      <c r="C13" s="254">
        <v>12643500</v>
      </c>
      <c r="D13" s="351"/>
      <c r="E13" s="351"/>
    </row>
    <row r="14" spans="1:5" ht="23.25">
      <c r="A14" s="231"/>
      <c r="B14" s="350" t="s">
        <v>234</v>
      </c>
      <c r="C14" s="254">
        <v>102955</v>
      </c>
      <c r="D14" s="351"/>
      <c r="E14" s="351"/>
    </row>
    <row r="15" spans="1:5" ht="23.25">
      <c r="A15" s="248"/>
      <c r="B15" s="307" t="s">
        <v>235</v>
      </c>
      <c r="C15" s="254">
        <v>142969</v>
      </c>
      <c r="D15" s="351"/>
      <c r="E15" s="351"/>
    </row>
    <row r="16" spans="1:5" ht="23.25">
      <c r="A16" s="248"/>
      <c r="B16" s="307" t="s">
        <v>248</v>
      </c>
      <c r="C16" s="254">
        <v>1443000</v>
      </c>
      <c r="D16" s="351"/>
      <c r="E16" s="351"/>
    </row>
    <row r="17" spans="1:5" ht="23.25">
      <c r="A17" s="248"/>
      <c r="B17" s="307" t="s">
        <v>197</v>
      </c>
      <c r="C17" s="254">
        <v>396350</v>
      </c>
      <c r="D17" s="351"/>
      <c r="E17" s="351"/>
    </row>
    <row r="18" spans="1:5" ht="23.25">
      <c r="A18" s="248"/>
      <c r="B18" s="307" t="s">
        <v>246</v>
      </c>
      <c r="C18" s="254">
        <v>130000</v>
      </c>
      <c r="D18" s="351"/>
      <c r="E18" s="351"/>
    </row>
    <row r="19" spans="1:5" ht="23.25">
      <c r="A19" s="248"/>
      <c r="B19" s="307" t="s">
        <v>247</v>
      </c>
      <c r="C19" s="254">
        <v>179790</v>
      </c>
      <c r="D19" s="351"/>
      <c r="E19" s="351"/>
    </row>
    <row r="20" spans="1:5" ht="23.25">
      <c r="A20" s="248"/>
      <c r="B20" s="307" t="s">
        <v>282</v>
      </c>
      <c r="C20" s="254">
        <v>17100</v>
      </c>
      <c r="D20" s="351"/>
      <c r="E20" s="351"/>
    </row>
    <row r="21" spans="1:5" ht="23.25">
      <c r="A21" s="248"/>
      <c r="B21" s="307" t="s">
        <v>233</v>
      </c>
      <c r="C21" s="254">
        <v>181740</v>
      </c>
      <c r="D21" s="351"/>
      <c r="E21" s="351"/>
    </row>
    <row r="22" spans="1:5" ht="23.25">
      <c r="A22" s="248"/>
      <c r="B22" s="307" t="s">
        <v>196</v>
      </c>
      <c r="C22" s="254">
        <v>27800</v>
      </c>
      <c r="D22" s="351"/>
      <c r="E22" s="351"/>
    </row>
    <row r="23" spans="1:5" ht="23.25">
      <c r="A23" s="248"/>
      <c r="B23" s="309" t="s">
        <v>218</v>
      </c>
      <c r="C23" s="254">
        <v>553468.9</v>
      </c>
      <c r="D23" s="351"/>
      <c r="E23" s="351"/>
    </row>
    <row r="24" spans="1:5" ht="24" thickBot="1">
      <c r="A24" s="582" t="s">
        <v>53</v>
      </c>
      <c r="B24" s="582"/>
      <c r="C24" s="352">
        <f>SUM(C9:C23)</f>
        <v>42639600.589999996</v>
      </c>
      <c r="D24" s="352"/>
      <c r="E24" s="352">
        <f>SUM(E7:E23)</f>
        <v>42654600.589999996</v>
      </c>
    </row>
    <row r="25" ht="24" thickTop="1">
      <c r="C25" s="343"/>
    </row>
    <row r="27" spans="1:3" ht="23.25">
      <c r="A27" s="385"/>
      <c r="B27" s="385"/>
      <c r="C27" s="385"/>
    </row>
    <row r="28" ht="23.25">
      <c r="B28" s="385"/>
    </row>
    <row r="29" spans="1:3" ht="23.25">
      <c r="A29" s="385"/>
      <c r="B29" s="385"/>
      <c r="C29" s="385"/>
    </row>
    <row r="30" ht="23.25">
      <c r="B30" s="385"/>
    </row>
    <row r="31" spans="1:3" ht="23.25">
      <c r="A31" s="385"/>
      <c r="B31" s="385"/>
      <c r="C31" s="385"/>
    </row>
    <row r="32" spans="2:3" ht="23.25">
      <c r="B32" s="385"/>
      <c r="C32" s="385"/>
    </row>
  </sheetData>
  <mergeCells count="6">
    <mergeCell ref="A1:E1"/>
    <mergeCell ref="A24:B24"/>
    <mergeCell ref="A6:B6"/>
    <mergeCell ref="A2:E2"/>
    <mergeCell ref="A3:E3"/>
    <mergeCell ref="A4:E4"/>
  </mergeCells>
  <printOptions/>
  <pageMargins left="0.75" right="0.28" top="0.62" bottom="0.52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10" sqref="G10"/>
    </sheetView>
  </sheetViews>
  <sheetFormatPr defaultColWidth="9.140625" defaultRowHeight="21.75"/>
  <cols>
    <col min="1" max="1" width="9.7109375" style="1" customWidth="1"/>
    <col min="2" max="2" width="64.7109375" style="1" customWidth="1"/>
    <col min="3" max="3" width="18.8515625" style="1" customWidth="1"/>
    <col min="4" max="16384" width="9.140625" style="1" customWidth="1"/>
  </cols>
  <sheetData>
    <row r="1" spans="1:3" ht="23.25">
      <c r="A1" s="611" t="s">
        <v>810</v>
      </c>
      <c r="B1" s="611"/>
      <c r="C1" s="611"/>
    </row>
    <row r="2" spans="1:3" ht="23.25">
      <c r="A2" s="587" t="s">
        <v>684</v>
      </c>
      <c r="B2" s="587"/>
      <c r="C2" s="587"/>
    </row>
    <row r="3" spans="1:3" ht="23.25">
      <c r="A3" s="587" t="s">
        <v>77</v>
      </c>
      <c r="B3" s="587"/>
      <c r="C3" s="587"/>
    </row>
    <row r="4" spans="1:3" ht="23.25">
      <c r="A4" s="587" t="s">
        <v>682</v>
      </c>
      <c r="B4" s="587"/>
      <c r="C4" s="587"/>
    </row>
    <row r="6" ht="23.25">
      <c r="A6" s="1" t="s">
        <v>78</v>
      </c>
    </row>
    <row r="8" spans="1:3" s="4" customFormat="1" ht="23.25">
      <c r="A8" s="4" t="s">
        <v>57</v>
      </c>
      <c r="B8" s="4" t="s">
        <v>4</v>
      </c>
      <c r="C8" s="4" t="s">
        <v>286</v>
      </c>
    </row>
    <row r="9" spans="1:3" ht="23.25">
      <c r="A9" s="4">
        <v>1</v>
      </c>
      <c r="B9" s="369" t="s">
        <v>52</v>
      </c>
      <c r="C9" s="8">
        <v>19922.21</v>
      </c>
    </row>
    <row r="10" spans="1:3" ht="23.25">
      <c r="A10" s="4">
        <v>3</v>
      </c>
      <c r="B10" s="369" t="s">
        <v>726</v>
      </c>
      <c r="C10" s="8">
        <v>1743215</v>
      </c>
    </row>
    <row r="11" spans="1:3" ht="23.25">
      <c r="A11" s="4">
        <v>4</v>
      </c>
      <c r="B11" s="369" t="s">
        <v>727</v>
      </c>
      <c r="C11" s="8">
        <v>2915.18</v>
      </c>
    </row>
    <row r="12" spans="1:3" ht="23.25">
      <c r="A12" s="39">
        <v>5</v>
      </c>
      <c r="B12" s="369" t="s">
        <v>728</v>
      </c>
      <c r="C12" s="13">
        <v>991.06</v>
      </c>
    </row>
    <row r="13" spans="1:3" ht="23.25">
      <c r="A13" s="39">
        <v>6</v>
      </c>
      <c r="B13" s="369" t="s">
        <v>730</v>
      </c>
      <c r="C13" s="13">
        <v>1100000</v>
      </c>
    </row>
    <row r="14" spans="1:3" ht="23.25">
      <c r="A14" s="39">
        <v>7</v>
      </c>
      <c r="B14" s="369" t="s">
        <v>731</v>
      </c>
      <c r="C14" s="13">
        <v>39034.56</v>
      </c>
    </row>
    <row r="15" spans="1:3" ht="24" thickBot="1">
      <c r="A15" s="4"/>
      <c r="B15" s="34" t="s">
        <v>79</v>
      </c>
      <c r="C15" s="38">
        <f>SUM(C9:C14)</f>
        <v>2906078.0100000002</v>
      </c>
    </row>
    <row r="16" spans="1:3" ht="24" thickTop="1">
      <c r="A16" s="4"/>
      <c r="C16" s="8"/>
    </row>
    <row r="17" spans="1:3" ht="23.25">
      <c r="A17" s="4"/>
      <c r="C17" s="8"/>
    </row>
    <row r="18" spans="1:3" ht="23.25">
      <c r="A18" s="4"/>
      <c r="C18" s="8"/>
    </row>
    <row r="19" spans="2:3" ht="23.25">
      <c r="B19" s="2"/>
      <c r="C19" s="9"/>
    </row>
    <row r="20" spans="1:3" ht="23.25">
      <c r="A20" s="612" t="s">
        <v>217</v>
      </c>
      <c r="B20" s="612"/>
      <c r="C20" s="612"/>
    </row>
    <row r="21" spans="1:3" ht="23.25">
      <c r="A21" s="612" t="s">
        <v>651</v>
      </c>
      <c r="B21" s="612"/>
      <c r="C21" s="612"/>
    </row>
    <row r="22" spans="1:3" ht="23.25">
      <c r="A22" s="585" t="s">
        <v>652</v>
      </c>
      <c r="B22" s="585"/>
      <c r="C22" s="585"/>
    </row>
    <row r="23" spans="1:3" ht="23.25">
      <c r="A23" s="4"/>
      <c r="B23" s="4"/>
      <c r="C23" s="4"/>
    </row>
    <row r="24" spans="1:3" ht="23.25">
      <c r="A24" s="4"/>
      <c r="B24" s="4"/>
      <c r="C24" s="4"/>
    </row>
    <row r="25" spans="1:3" ht="23.25">
      <c r="A25" s="585"/>
      <c r="B25" s="585"/>
      <c r="C25" s="585"/>
    </row>
    <row r="26" spans="1:4" ht="23.25">
      <c r="A26" s="585"/>
      <c r="B26" s="585"/>
      <c r="C26" s="585"/>
      <c r="D26" s="8"/>
    </row>
    <row r="27" spans="1:4" ht="23.25">
      <c r="A27" s="585"/>
      <c r="B27" s="585"/>
      <c r="C27" s="585"/>
      <c r="D27" s="8"/>
    </row>
    <row r="28" spans="1:4" ht="23.25">
      <c r="A28" s="585"/>
      <c r="B28" s="585"/>
      <c r="C28" s="585"/>
      <c r="D28" s="8"/>
    </row>
    <row r="29" spans="1:4" ht="23.25">
      <c r="A29" s="4"/>
      <c r="B29" s="4"/>
      <c r="C29" s="4"/>
      <c r="D29" s="8"/>
    </row>
    <row r="30" spans="1:4" ht="23.25">
      <c r="A30" s="4"/>
      <c r="B30" s="4"/>
      <c r="C30" s="4"/>
      <c r="D30" s="8"/>
    </row>
    <row r="31" spans="1:3" ht="23.25">
      <c r="A31" s="585"/>
      <c r="B31" s="585"/>
      <c r="C31" s="585"/>
    </row>
    <row r="32" spans="1:3" ht="23.25">
      <c r="A32" s="585"/>
      <c r="B32" s="585"/>
      <c r="C32" s="585"/>
    </row>
    <row r="33" spans="1:3" ht="23.25">
      <c r="A33" s="585"/>
      <c r="B33" s="585"/>
      <c r="C33" s="585"/>
    </row>
  </sheetData>
  <mergeCells count="14">
    <mergeCell ref="A33:C33"/>
    <mergeCell ref="A27:C27"/>
    <mergeCell ref="A28:C28"/>
    <mergeCell ref="A2:C2"/>
    <mergeCell ref="A3:C3"/>
    <mergeCell ref="A4:C4"/>
    <mergeCell ref="A25:C25"/>
    <mergeCell ref="A20:C20"/>
    <mergeCell ref="A21:C21"/>
    <mergeCell ref="A22:C22"/>
    <mergeCell ref="A1:C1"/>
    <mergeCell ref="A26:C26"/>
    <mergeCell ref="A31:C31"/>
    <mergeCell ref="A32:C32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2" sqref="A22:F22"/>
    </sheetView>
  </sheetViews>
  <sheetFormatPr defaultColWidth="9.140625" defaultRowHeight="21.75"/>
  <cols>
    <col min="1" max="1" width="9.140625" style="1" customWidth="1"/>
    <col min="2" max="2" width="6.421875" style="1" customWidth="1"/>
    <col min="3" max="3" width="35.140625" style="1" customWidth="1"/>
    <col min="4" max="6" width="15.7109375" style="1" customWidth="1"/>
    <col min="7" max="8" width="9.140625" style="1" customWidth="1"/>
    <col min="9" max="9" width="15.7109375" style="1" customWidth="1"/>
    <col min="10" max="16384" width="9.140625" style="1" customWidth="1"/>
  </cols>
  <sheetData>
    <row r="1" spans="1:7" ht="23.25">
      <c r="A1" s="616" t="s">
        <v>773</v>
      </c>
      <c r="B1" s="616"/>
      <c r="C1" s="616"/>
      <c r="D1" s="616"/>
      <c r="E1" s="616"/>
      <c r="F1" s="616"/>
      <c r="G1" s="520"/>
    </row>
    <row r="2" spans="1:7" ht="23.25">
      <c r="A2" s="587" t="s">
        <v>684</v>
      </c>
      <c r="B2" s="587"/>
      <c r="C2" s="587"/>
      <c r="D2" s="587"/>
      <c r="E2" s="587"/>
      <c r="F2" s="587"/>
      <c r="G2" s="587"/>
    </row>
    <row r="3" spans="1:7" ht="23.25">
      <c r="A3" s="587" t="s">
        <v>36</v>
      </c>
      <c r="B3" s="587"/>
      <c r="C3" s="587"/>
      <c r="D3" s="587"/>
      <c r="E3" s="587"/>
      <c r="F3" s="587"/>
      <c r="G3" s="587"/>
    </row>
    <row r="4" spans="1:7" ht="23.25">
      <c r="A4" s="587" t="s">
        <v>682</v>
      </c>
      <c r="B4" s="587"/>
      <c r="C4" s="587"/>
      <c r="D4" s="587"/>
      <c r="E4" s="587"/>
      <c r="F4" s="587"/>
      <c r="G4" s="587"/>
    </row>
    <row r="5" ht="23.25">
      <c r="E5" s="504"/>
    </row>
    <row r="6" ht="23.25">
      <c r="A6" s="1" t="s">
        <v>768</v>
      </c>
    </row>
    <row r="8" spans="1:6" ht="23.25">
      <c r="A8" s="1" t="s">
        <v>774</v>
      </c>
      <c r="E8" s="8"/>
      <c r="F8" s="8">
        <v>31374490.98</v>
      </c>
    </row>
    <row r="9" spans="1:6" ht="23.25">
      <c r="A9" s="505" t="s">
        <v>191</v>
      </c>
      <c r="B9" s="1" t="s">
        <v>769</v>
      </c>
      <c r="E9" s="8">
        <v>28099983.58</v>
      </c>
      <c r="F9" s="8"/>
    </row>
    <row r="10" spans="1:6" ht="23.25">
      <c r="A10" s="505"/>
      <c r="B10" s="1" t="s">
        <v>775</v>
      </c>
      <c r="E10" s="8">
        <v>34254.59</v>
      </c>
      <c r="F10" s="8"/>
    </row>
    <row r="11" spans="2:6" ht="23.25">
      <c r="B11" s="1" t="s">
        <v>776</v>
      </c>
      <c r="E11" s="8">
        <v>0.25</v>
      </c>
      <c r="F11" s="8"/>
    </row>
    <row r="12" spans="2:9" ht="23.25">
      <c r="B12" s="1" t="s">
        <v>770</v>
      </c>
      <c r="E12" s="8">
        <v>364546.06</v>
      </c>
      <c r="F12" s="8">
        <f>E9+E10+E11+E12</f>
        <v>28498784.479999997</v>
      </c>
      <c r="I12" s="15"/>
    </row>
    <row r="13" spans="1:9" ht="23.25">
      <c r="A13" s="1" t="s">
        <v>771</v>
      </c>
      <c r="B13" s="1" t="s">
        <v>75</v>
      </c>
      <c r="D13" s="8">
        <v>11978347</v>
      </c>
      <c r="E13" s="8"/>
      <c r="F13" s="8"/>
      <c r="I13" s="15"/>
    </row>
    <row r="14" spans="2:6" ht="25.5">
      <c r="B14" s="1" t="s">
        <v>772</v>
      </c>
      <c r="D14" s="506">
        <f>E9*25/100</f>
        <v>7024995.895</v>
      </c>
      <c r="E14" s="8"/>
      <c r="F14" s="8">
        <f>D13+D14</f>
        <v>19003342.895</v>
      </c>
    </row>
    <row r="15" spans="3:9" ht="25.5">
      <c r="C15" s="507" t="s">
        <v>777</v>
      </c>
      <c r="D15" s="507"/>
      <c r="E15" s="508"/>
      <c r="F15" s="509">
        <f>31374490.98+28498784.48-19003342.9</f>
        <v>40869932.56</v>
      </c>
      <c r="I15" s="15"/>
    </row>
    <row r="16" spans="5:6" ht="23.25">
      <c r="E16" s="8"/>
      <c r="F16" s="8"/>
    </row>
    <row r="17" spans="5:6" ht="23.25">
      <c r="E17" s="8"/>
      <c r="F17" s="8"/>
    </row>
    <row r="18" ht="23.25">
      <c r="E18" s="15"/>
    </row>
    <row r="19" spans="1:6" ht="23.25">
      <c r="A19" s="612"/>
      <c r="B19" s="612"/>
      <c r="C19" s="612"/>
      <c r="D19" s="612"/>
      <c r="E19" s="612"/>
      <c r="F19" s="612"/>
    </row>
    <row r="20" spans="1:6" ht="23.25">
      <c r="A20" s="612"/>
      <c r="B20" s="612"/>
      <c r="C20" s="612"/>
      <c r="D20" s="612"/>
      <c r="E20" s="612"/>
      <c r="F20" s="612"/>
    </row>
    <row r="21" spans="1:6" ht="23.25">
      <c r="A21" s="585"/>
      <c r="B21" s="585"/>
      <c r="C21" s="585"/>
      <c r="D21" s="585"/>
      <c r="E21" s="585"/>
      <c r="F21" s="585"/>
    </row>
    <row r="22" spans="1:6" ht="23.25">
      <c r="A22" s="585"/>
      <c r="B22" s="585"/>
      <c r="C22" s="585"/>
      <c r="D22" s="585"/>
      <c r="E22" s="585"/>
      <c r="F22" s="585"/>
    </row>
    <row r="23" spans="1:6" ht="23.25">
      <c r="A23" s="4"/>
      <c r="B23" s="4"/>
      <c r="C23" s="4"/>
      <c r="D23" s="4"/>
      <c r="E23" s="4"/>
      <c r="F23" s="4"/>
    </row>
    <row r="24" spans="1:6" ht="23.25">
      <c r="A24" s="585"/>
      <c r="B24" s="585"/>
      <c r="C24" s="585"/>
      <c r="D24" s="585"/>
      <c r="E24" s="585"/>
      <c r="F24" s="585"/>
    </row>
    <row r="25" spans="1:6" ht="23.25">
      <c r="A25" s="585"/>
      <c r="B25" s="585"/>
      <c r="C25" s="585"/>
      <c r="D25" s="585"/>
      <c r="E25" s="585"/>
      <c r="F25" s="585"/>
    </row>
    <row r="26" spans="1:6" ht="23.25">
      <c r="A26" s="585"/>
      <c r="B26" s="585"/>
      <c r="C26" s="585"/>
      <c r="D26" s="585"/>
      <c r="E26" s="585"/>
      <c r="F26" s="585"/>
    </row>
    <row r="27" spans="1:6" ht="23.25">
      <c r="A27" s="585"/>
      <c r="B27" s="585"/>
      <c r="C27" s="585"/>
      <c r="D27" s="585"/>
      <c r="E27" s="585"/>
      <c r="F27" s="585"/>
    </row>
    <row r="28" spans="1:6" ht="23.25">
      <c r="A28" s="29"/>
      <c r="B28" s="29"/>
      <c r="C28" s="29"/>
      <c r="D28" s="29"/>
      <c r="E28" s="29"/>
      <c r="F28" s="29"/>
    </row>
    <row r="29" spans="1:6" ht="23.25">
      <c r="A29" s="585"/>
      <c r="B29" s="585"/>
      <c r="C29" s="585"/>
      <c r="D29" s="585"/>
      <c r="E29" s="585"/>
      <c r="F29" s="585"/>
    </row>
    <row r="30" spans="1:6" ht="23.25">
      <c r="A30" s="585"/>
      <c r="B30" s="585"/>
      <c r="C30" s="585"/>
      <c r="D30" s="585"/>
      <c r="E30" s="585"/>
      <c r="F30" s="585"/>
    </row>
    <row r="31" spans="1:6" ht="23.25">
      <c r="A31" s="585"/>
      <c r="B31" s="585"/>
      <c r="C31" s="585"/>
      <c r="D31" s="585"/>
      <c r="E31" s="585"/>
      <c r="F31" s="585"/>
    </row>
  </sheetData>
  <mergeCells count="15">
    <mergeCell ref="A2:G2"/>
    <mergeCell ref="A3:G3"/>
    <mergeCell ref="A4:G4"/>
    <mergeCell ref="A1:F1"/>
    <mergeCell ref="A19:F19"/>
    <mergeCell ref="A20:F20"/>
    <mergeCell ref="A21:F21"/>
    <mergeCell ref="A22:F22"/>
    <mergeCell ref="A29:F29"/>
    <mergeCell ref="A30:F30"/>
    <mergeCell ref="A31:F31"/>
    <mergeCell ref="A24:F24"/>
    <mergeCell ref="A25:F25"/>
    <mergeCell ref="A26:F26"/>
    <mergeCell ref="A27:F27"/>
  </mergeCells>
  <printOptions/>
  <pageMargins left="0.48" right="0.49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8" sqref="A8"/>
    </sheetView>
  </sheetViews>
  <sheetFormatPr defaultColWidth="9.140625" defaultRowHeight="21.75"/>
  <cols>
    <col min="1" max="1" width="60.7109375" style="19" customWidth="1"/>
    <col min="2" max="2" width="7.8515625" style="19" bestFit="1" customWidth="1"/>
    <col min="3" max="3" width="16.00390625" style="245" customWidth="1"/>
    <col min="4" max="4" width="16.57421875" style="245" customWidth="1"/>
    <col min="5" max="5" width="4.421875" style="19" bestFit="1" customWidth="1"/>
    <col min="6" max="6" width="12.00390625" style="19" bestFit="1" customWidth="1"/>
    <col min="7" max="16384" width="9.140625" style="19" customWidth="1"/>
  </cols>
  <sheetData>
    <row r="1" spans="1:4" ht="21">
      <c r="A1" s="618" t="s">
        <v>684</v>
      </c>
      <c r="B1" s="618"/>
      <c r="C1" s="618"/>
      <c r="D1" s="618"/>
    </row>
    <row r="2" spans="1:4" ht="16.5" customHeight="1">
      <c r="A2" s="618" t="s">
        <v>46</v>
      </c>
      <c r="B2" s="618"/>
      <c r="C2" s="618"/>
      <c r="D2" s="618"/>
    </row>
    <row r="3" spans="1:4" ht="21">
      <c r="A3" s="618" t="s">
        <v>665</v>
      </c>
      <c r="B3" s="618"/>
      <c r="C3" s="618"/>
      <c r="D3" s="618"/>
    </row>
    <row r="4" spans="1:4" s="225" customFormat="1" ht="21">
      <c r="A4" s="33" t="s">
        <v>4</v>
      </c>
      <c r="B4" s="33" t="s">
        <v>47</v>
      </c>
      <c r="C4" s="386" t="s">
        <v>48</v>
      </c>
      <c r="D4" s="386" t="s">
        <v>49</v>
      </c>
    </row>
    <row r="5" spans="1:6" ht="21">
      <c r="A5" s="237" t="s">
        <v>236</v>
      </c>
      <c r="B5" s="22" t="s">
        <v>207</v>
      </c>
      <c r="C5" s="23">
        <v>48401863.86</v>
      </c>
      <c r="D5" s="238">
        <v>0</v>
      </c>
      <c r="F5" s="24"/>
    </row>
    <row r="6" spans="1:6" ht="21">
      <c r="A6" s="237" t="s">
        <v>666</v>
      </c>
      <c r="B6" s="22" t="s">
        <v>208</v>
      </c>
      <c r="C6" s="23">
        <v>23000000</v>
      </c>
      <c r="D6" s="238"/>
      <c r="F6" s="24"/>
    </row>
    <row r="7" spans="1:4" ht="21">
      <c r="A7" s="237" t="s">
        <v>50</v>
      </c>
      <c r="B7" s="22" t="s">
        <v>667</v>
      </c>
      <c r="C7" s="23">
        <v>662434.56</v>
      </c>
      <c r="D7" s="238">
        <v>0</v>
      </c>
    </row>
    <row r="8" spans="1:5" ht="21">
      <c r="A8" s="237" t="s">
        <v>297</v>
      </c>
      <c r="B8" s="22" t="s">
        <v>668</v>
      </c>
      <c r="C8" s="23">
        <v>70740</v>
      </c>
      <c r="D8" s="238">
        <v>0</v>
      </c>
      <c r="E8" s="24"/>
    </row>
    <row r="9" spans="1:5" ht="21">
      <c r="A9" s="237" t="s">
        <v>209</v>
      </c>
      <c r="B9" s="22" t="s">
        <v>210</v>
      </c>
      <c r="C9" s="23">
        <v>4122.61</v>
      </c>
      <c r="D9" s="238">
        <v>0</v>
      </c>
      <c r="E9" s="24"/>
    </row>
    <row r="10" spans="1:4" ht="21">
      <c r="A10" s="237" t="s">
        <v>54</v>
      </c>
      <c r="B10" s="22" t="s">
        <v>211</v>
      </c>
      <c r="C10" s="23">
        <v>476600</v>
      </c>
      <c r="D10" s="238">
        <v>0</v>
      </c>
    </row>
    <row r="11" spans="1:4" ht="21">
      <c r="A11" s="237" t="s">
        <v>28</v>
      </c>
      <c r="B11" s="22" t="s">
        <v>73</v>
      </c>
      <c r="C11" s="23">
        <v>3547283.25</v>
      </c>
      <c r="D11" s="238">
        <v>0</v>
      </c>
    </row>
    <row r="12" spans="1:4" ht="21">
      <c r="A12" s="237" t="s">
        <v>616</v>
      </c>
      <c r="B12" s="22" t="s">
        <v>290</v>
      </c>
      <c r="C12" s="23">
        <v>14072100</v>
      </c>
      <c r="D12" s="238">
        <v>0</v>
      </c>
    </row>
    <row r="13" spans="1:4" ht="21">
      <c r="A13" s="237" t="s">
        <v>617</v>
      </c>
      <c r="B13" s="22" t="s">
        <v>291</v>
      </c>
      <c r="C13" s="23">
        <v>1462500</v>
      </c>
      <c r="D13" s="238">
        <v>0</v>
      </c>
    </row>
    <row r="14" spans="1:4" ht="21">
      <c r="A14" s="237" t="s">
        <v>56</v>
      </c>
      <c r="B14" s="22" t="s">
        <v>212</v>
      </c>
      <c r="C14" s="23">
        <v>5774533.39</v>
      </c>
      <c r="D14" s="238">
        <v>0</v>
      </c>
    </row>
    <row r="15" spans="1:4" ht="21">
      <c r="A15" s="237" t="s">
        <v>203</v>
      </c>
      <c r="B15" s="22" t="s">
        <v>74</v>
      </c>
      <c r="C15" s="23">
        <v>3380229.31</v>
      </c>
      <c r="D15" s="238">
        <v>0</v>
      </c>
    </row>
    <row r="16" spans="1:4" ht="21">
      <c r="A16" s="394" t="s">
        <v>669</v>
      </c>
      <c r="B16" s="22" t="s">
        <v>670</v>
      </c>
      <c r="C16" s="23">
        <v>490566</v>
      </c>
      <c r="D16" s="238">
        <v>0</v>
      </c>
    </row>
    <row r="17" spans="1:4" ht="21">
      <c r="A17" s="237" t="s">
        <v>30</v>
      </c>
      <c r="B17" s="22" t="s">
        <v>39</v>
      </c>
      <c r="C17" s="23">
        <v>4747538.75</v>
      </c>
      <c r="D17" s="238">
        <v>0</v>
      </c>
    </row>
    <row r="18" spans="1:4" ht="21">
      <c r="A18" s="237" t="s">
        <v>31</v>
      </c>
      <c r="B18" s="22" t="s">
        <v>40</v>
      </c>
      <c r="C18" s="23">
        <f>8470771.33+920</f>
        <v>8471691.33</v>
      </c>
      <c r="D18" s="238">
        <v>0</v>
      </c>
    </row>
    <row r="19" spans="1:4" ht="21">
      <c r="A19" s="237" t="s">
        <v>671</v>
      </c>
      <c r="B19" s="22" t="s">
        <v>40</v>
      </c>
      <c r="C19" s="23">
        <v>10000</v>
      </c>
      <c r="D19" s="238"/>
    </row>
    <row r="20" spans="1:4" ht="21">
      <c r="A20" s="237" t="s">
        <v>672</v>
      </c>
      <c r="B20" s="22" t="s">
        <v>40</v>
      </c>
      <c r="C20" s="23">
        <v>131500</v>
      </c>
      <c r="D20" s="238"/>
    </row>
    <row r="21" spans="1:5" ht="21">
      <c r="A21" s="237" t="s">
        <v>32</v>
      </c>
      <c r="B21" s="22" t="s">
        <v>41</v>
      </c>
      <c r="C21" s="23">
        <v>3802666.84</v>
      </c>
      <c r="D21" s="238">
        <v>0</v>
      </c>
      <c r="E21" s="24"/>
    </row>
    <row r="22" spans="1:5" ht="21">
      <c r="A22" s="237" t="s">
        <v>673</v>
      </c>
      <c r="B22" s="22" t="s">
        <v>41</v>
      </c>
      <c r="C22" s="23">
        <v>50600</v>
      </c>
      <c r="D22" s="238"/>
      <c r="E22" s="24"/>
    </row>
    <row r="23" spans="1:4" ht="21">
      <c r="A23" s="237" t="s">
        <v>33</v>
      </c>
      <c r="B23" s="22" t="s">
        <v>42</v>
      </c>
      <c r="C23" s="23">
        <v>310177.67</v>
      </c>
      <c r="D23" s="238">
        <v>0</v>
      </c>
    </row>
    <row r="24" spans="1:4" ht="21">
      <c r="A24" s="237" t="s">
        <v>16</v>
      </c>
      <c r="B24" s="22" t="s">
        <v>43</v>
      </c>
      <c r="C24" s="23">
        <v>2066890.44</v>
      </c>
      <c r="D24" s="238">
        <v>0</v>
      </c>
    </row>
    <row r="25" spans="1:4" ht="21">
      <c r="A25" s="237" t="s">
        <v>34</v>
      </c>
      <c r="B25" s="22" t="s">
        <v>44</v>
      </c>
      <c r="C25" s="23">
        <v>169200</v>
      </c>
      <c r="D25" s="238">
        <v>0</v>
      </c>
    </row>
    <row r="26" spans="1:4" ht="21">
      <c r="A26" s="237" t="s">
        <v>35</v>
      </c>
      <c r="B26" s="22" t="s">
        <v>45</v>
      </c>
      <c r="C26" s="23">
        <v>2380200</v>
      </c>
      <c r="D26" s="238">
        <v>0</v>
      </c>
    </row>
    <row r="27" spans="1:4" ht="21">
      <c r="A27" s="237" t="s">
        <v>674</v>
      </c>
      <c r="B27" s="22" t="s">
        <v>675</v>
      </c>
      <c r="C27" s="23">
        <v>998000</v>
      </c>
      <c r="D27" s="238">
        <v>0</v>
      </c>
    </row>
    <row r="28" spans="1:4" ht="21">
      <c r="A28" s="237" t="s">
        <v>676</v>
      </c>
      <c r="B28" s="22" t="s">
        <v>677</v>
      </c>
      <c r="C28" s="23">
        <v>998000</v>
      </c>
      <c r="D28" s="238">
        <v>0</v>
      </c>
    </row>
    <row r="29" spans="1:4" ht="21">
      <c r="A29" s="237" t="s">
        <v>618</v>
      </c>
      <c r="B29" s="22" t="s">
        <v>213</v>
      </c>
      <c r="C29" s="23">
        <v>0</v>
      </c>
      <c r="D29" s="23">
        <v>80963660.56</v>
      </c>
    </row>
    <row r="30" spans="1:4" ht="21">
      <c r="A30" s="237" t="s">
        <v>678</v>
      </c>
      <c r="B30" s="22" t="s">
        <v>679</v>
      </c>
      <c r="C30" s="23">
        <v>0</v>
      </c>
      <c r="D30" s="23">
        <v>2906078.01</v>
      </c>
    </row>
    <row r="31" spans="1:4" ht="21">
      <c r="A31" s="239" t="s">
        <v>680</v>
      </c>
      <c r="B31" s="28"/>
      <c r="C31" s="21"/>
      <c r="D31" s="21">
        <v>920</v>
      </c>
    </row>
    <row r="32" spans="1:4" ht="21">
      <c r="A32" s="239" t="s">
        <v>51</v>
      </c>
      <c r="B32" s="28" t="s">
        <v>216</v>
      </c>
      <c r="C32" s="21">
        <v>0</v>
      </c>
      <c r="D32" s="21">
        <v>3247493.7</v>
      </c>
    </row>
    <row r="33" spans="1:4" ht="21">
      <c r="A33" s="239" t="s">
        <v>250</v>
      </c>
      <c r="B33" s="28" t="s">
        <v>292</v>
      </c>
      <c r="C33" s="21">
        <v>0</v>
      </c>
      <c r="D33" s="21">
        <v>1960157</v>
      </c>
    </row>
    <row r="34" spans="1:4" ht="21">
      <c r="A34" s="237" t="s">
        <v>36</v>
      </c>
      <c r="B34" s="22" t="s">
        <v>214</v>
      </c>
      <c r="C34" s="23">
        <v>0</v>
      </c>
      <c r="D34" s="23">
        <v>19794944.88</v>
      </c>
    </row>
    <row r="35" spans="1:4" ht="21">
      <c r="A35" s="237" t="s">
        <v>198</v>
      </c>
      <c r="B35" s="22" t="s">
        <v>215</v>
      </c>
      <c r="C35" s="23">
        <v>0</v>
      </c>
      <c r="D35" s="23">
        <v>16606183.86</v>
      </c>
    </row>
    <row r="36" spans="1:6" ht="21.75" thickBot="1">
      <c r="A36" s="389" t="s">
        <v>53</v>
      </c>
      <c r="B36" s="390"/>
      <c r="C36" s="391">
        <f>SUM(C5:C35)</f>
        <v>125479438.01</v>
      </c>
      <c r="D36" s="391">
        <f>SUM(D5:D35)</f>
        <v>125479438.01</v>
      </c>
      <c r="E36" s="245"/>
      <c r="F36" s="24"/>
    </row>
    <row r="37" spans="1:6" ht="21.75" thickTop="1">
      <c r="A37" s="392"/>
      <c r="B37" s="393"/>
      <c r="C37" s="244"/>
      <c r="D37" s="244"/>
      <c r="E37" s="245"/>
      <c r="F37" s="24"/>
    </row>
    <row r="38" spans="1:5" ht="21">
      <c r="A38" s="392"/>
      <c r="B38" s="393"/>
      <c r="C38" s="244"/>
      <c r="D38" s="244"/>
      <c r="E38" s="245"/>
    </row>
    <row r="39" spans="1:4" ht="21">
      <c r="A39" s="617"/>
      <c r="B39" s="617"/>
      <c r="C39" s="617"/>
      <c r="D39" s="617"/>
    </row>
    <row r="40" spans="1:4" ht="21">
      <c r="A40" s="225"/>
      <c r="B40" s="225"/>
      <c r="C40" s="225"/>
      <c r="D40" s="225"/>
    </row>
    <row r="41" spans="1:4" ht="21">
      <c r="A41" s="617"/>
      <c r="B41" s="617"/>
      <c r="C41" s="617"/>
      <c r="D41" s="617"/>
    </row>
    <row r="42" spans="1:4" ht="21">
      <c r="A42" s="617"/>
      <c r="B42" s="617"/>
      <c r="C42" s="617"/>
      <c r="D42" s="617"/>
    </row>
    <row r="43" spans="1:4" ht="21">
      <c r="A43" s="617"/>
      <c r="B43" s="617"/>
      <c r="C43" s="617"/>
      <c r="D43" s="617"/>
    </row>
    <row r="44" spans="1:4" ht="21">
      <c r="A44" s="617"/>
      <c r="B44" s="617"/>
      <c r="C44" s="617"/>
      <c r="D44" s="617"/>
    </row>
    <row r="45" spans="1:4" ht="21">
      <c r="A45" s="225"/>
      <c r="B45" s="225"/>
      <c r="C45" s="225"/>
      <c r="D45" s="225"/>
    </row>
    <row r="46" spans="1:4" ht="21">
      <c r="A46" s="617"/>
      <c r="B46" s="617"/>
      <c r="C46" s="617"/>
      <c r="D46" s="617"/>
    </row>
    <row r="47" spans="1:4" ht="21">
      <c r="A47" s="617"/>
      <c r="B47" s="617"/>
      <c r="C47" s="617"/>
      <c r="D47" s="617"/>
    </row>
    <row r="48" spans="1:4" ht="21">
      <c r="A48" s="617"/>
      <c r="B48" s="617"/>
      <c r="C48" s="617"/>
      <c r="D48" s="617"/>
    </row>
  </sheetData>
  <mergeCells count="11">
    <mergeCell ref="A1:D1"/>
    <mergeCell ref="A2:D2"/>
    <mergeCell ref="A3:D3"/>
    <mergeCell ref="A39:D39"/>
    <mergeCell ref="A46:D46"/>
    <mergeCell ref="A47:D47"/>
    <mergeCell ref="A48:D48"/>
    <mergeCell ref="A41:D41"/>
    <mergeCell ref="A42:D42"/>
    <mergeCell ref="A43:D43"/>
    <mergeCell ref="A44:D44"/>
  </mergeCells>
  <printOptions/>
  <pageMargins left="0.71" right="0.27" top="0.17" bottom="0.12" header="0.19" footer="0.1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7" sqref="A7"/>
    </sheetView>
  </sheetViews>
  <sheetFormatPr defaultColWidth="9.140625" defaultRowHeight="21.75"/>
  <cols>
    <col min="1" max="1" width="57.8515625" style="19" bestFit="1" customWidth="1"/>
    <col min="2" max="2" width="7.8515625" style="19" bestFit="1" customWidth="1"/>
    <col min="3" max="4" width="13.00390625" style="245" bestFit="1" customWidth="1"/>
    <col min="5" max="5" width="4.421875" style="19" bestFit="1" customWidth="1"/>
    <col min="6" max="6" width="12.00390625" style="19" bestFit="1" customWidth="1"/>
    <col min="7" max="16384" width="9.140625" style="19" customWidth="1"/>
  </cols>
  <sheetData>
    <row r="1" spans="1:4" ht="21">
      <c r="A1" s="618" t="s">
        <v>684</v>
      </c>
      <c r="B1" s="618"/>
      <c r="C1" s="618"/>
      <c r="D1" s="618"/>
    </row>
    <row r="2" spans="1:4" ht="21" customHeight="1">
      <c r="A2" s="618" t="s">
        <v>811</v>
      </c>
      <c r="B2" s="618"/>
      <c r="C2" s="618"/>
      <c r="D2" s="618"/>
    </row>
    <row r="3" spans="1:4" ht="21">
      <c r="A3" s="618" t="s">
        <v>665</v>
      </c>
      <c r="B3" s="618"/>
      <c r="C3" s="618"/>
      <c r="D3" s="618"/>
    </row>
    <row r="4" spans="1:4" s="225" customFormat="1" ht="21">
      <c r="A4" s="33" t="s">
        <v>4</v>
      </c>
      <c r="B4" s="33" t="s">
        <v>47</v>
      </c>
      <c r="C4" s="386" t="s">
        <v>48</v>
      </c>
      <c r="D4" s="386" t="s">
        <v>49</v>
      </c>
    </row>
    <row r="5" spans="1:4" ht="21">
      <c r="A5" s="387" t="s">
        <v>289</v>
      </c>
      <c r="B5" s="222" t="s">
        <v>206</v>
      </c>
      <c r="C5" s="223"/>
      <c r="D5" s="388">
        <v>0</v>
      </c>
    </row>
    <row r="6" spans="1:6" ht="21">
      <c r="A6" s="237" t="s">
        <v>236</v>
      </c>
      <c r="B6" s="22" t="s">
        <v>207</v>
      </c>
      <c r="C6" s="23">
        <v>48401863.86</v>
      </c>
      <c r="D6" s="238">
        <v>0</v>
      </c>
      <c r="F6" s="24"/>
    </row>
    <row r="7" spans="1:6" ht="21">
      <c r="A7" s="237" t="s">
        <v>666</v>
      </c>
      <c r="B7" s="22" t="s">
        <v>208</v>
      </c>
      <c r="C7" s="23">
        <v>23000000</v>
      </c>
      <c r="D7" s="238"/>
      <c r="F7" s="24"/>
    </row>
    <row r="8" spans="1:4" ht="21">
      <c r="A8" s="237" t="s">
        <v>50</v>
      </c>
      <c r="B8" s="22" t="s">
        <v>667</v>
      </c>
      <c r="C8" s="23">
        <v>662434.56</v>
      </c>
      <c r="D8" s="238">
        <v>0</v>
      </c>
    </row>
    <row r="9" spans="1:5" ht="21">
      <c r="A9" s="237" t="s">
        <v>297</v>
      </c>
      <c r="B9" s="22" t="s">
        <v>668</v>
      </c>
      <c r="C9" s="23">
        <v>70740</v>
      </c>
      <c r="D9" s="238">
        <v>0</v>
      </c>
      <c r="E9" s="24"/>
    </row>
    <row r="10" spans="1:5" ht="21">
      <c r="A10" s="237" t="s">
        <v>209</v>
      </c>
      <c r="B10" s="22" t="s">
        <v>210</v>
      </c>
      <c r="C10" s="23">
        <v>4122.61</v>
      </c>
      <c r="D10" s="238">
        <v>0</v>
      </c>
      <c r="E10" s="24"/>
    </row>
    <row r="11" spans="1:4" ht="21">
      <c r="A11" s="237" t="s">
        <v>54</v>
      </c>
      <c r="B11" s="22" t="s">
        <v>211</v>
      </c>
      <c r="C11" s="23">
        <v>476600</v>
      </c>
      <c r="D11" s="238">
        <v>0</v>
      </c>
    </row>
    <row r="12" spans="1:4" ht="21">
      <c r="A12" s="239" t="s">
        <v>680</v>
      </c>
      <c r="B12" s="22"/>
      <c r="C12" s="23"/>
      <c r="D12" s="238">
        <v>920</v>
      </c>
    </row>
    <row r="13" spans="1:4" ht="21">
      <c r="A13" s="237" t="s">
        <v>36</v>
      </c>
      <c r="B13" s="22" t="s">
        <v>214</v>
      </c>
      <c r="C13" s="23">
        <v>0</v>
      </c>
      <c r="D13" s="23">
        <v>40869932.56</v>
      </c>
    </row>
    <row r="14" spans="1:4" ht="21">
      <c r="A14" s="237" t="s">
        <v>198</v>
      </c>
      <c r="B14" s="22" t="s">
        <v>215</v>
      </c>
      <c r="C14" s="23">
        <v>0</v>
      </c>
      <c r="D14" s="23">
        <v>23631179.76</v>
      </c>
    </row>
    <row r="15" spans="1:4" ht="21">
      <c r="A15" s="237" t="s">
        <v>778</v>
      </c>
      <c r="B15" s="22" t="s">
        <v>679</v>
      </c>
      <c r="C15" s="23">
        <v>0</v>
      </c>
      <c r="D15" s="23">
        <v>2906078.01</v>
      </c>
    </row>
    <row r="16" spans="1:4" ht="21">
      <c r="A16" s="239" t="s">
        <v>51</v>
      </c>
      <c r="B16" s="28" t="s">
        <v>216</v>
      </c>
      <c r="C16" s="21">
        <v>0</v>
      </c>
      <c r="D16" s="21">
        <v>3247493.7</v>
      </c>
    </row>
    <row r="17" spans="1:4" ht="21">
      <c r="A17" s="239" t="s">
        <v>250</v>
      </c>
      <c r="B17" s="28" t="s">
        <v>292</v>
      </c>
      <c r="C17" s="21">
        <v>0</v>
      </c>
      <c r="D17" s="21">
        <v>1960157</v>
      </c>
    </row>
    <row r="18" spans="1:6" ht="21.75" thickBot="1">
      <c r="A18" s="389" t="s">
        <v>53</v>
      </c>
      <c r="B18" s="390"/>
      <c r="C18" s="391">
        <f>SUM(C5:C17)</f>
        <v>72615761.03</v>
      </c>
      <c r="D18" s="391">
        <f>SUM(D5:D17)</f>
        <v>72615761.03000002</v>
      </c>
      <c r="E18" s="245"/>
      <c r="F18" s="24"/>
    </row>
    <row r="19" spans="1:6" ht="21.75" thickTop="1">
      <c r="A19" s="392"/>
      <c r="B19" s="393"/>
      <c r="C19" s="244"/>
      <c r="D19" s="244"/>
      <c r="E19" s="245"/>
      <c r="F19" s="24"/>
    </row>
    <row r="20" spans="1:6" ht="21">
      <c r="A20" s="392"/>
      <c r="B20" s="393"/>
      <c r="C20" s="244"/>
      <c r="D20" s="244"/>
      <c r="E20" s="245"/>
      <c r="F20" s="24"/>
    </row>
    <row r="21" spans="1:5" ht="21">
      <c r="A21" s="392"/>
      <c r="B21" s="393"/>
      <c r="C21" s="244"/>
      <c r="D21" s="244"/>
      <c r="E21" s="245"/>
    </row>
    <row r="22" spans="1:4" ht="21">
      <c r="A22" s="617"/>
      <c r="B22" s="617"/>
      <c r="C22" s="617"/>
      <c r="D22" s="617"/>
    </row>
    <row r="23" spans="1:4" ht="21">
      <c r="A23" s="225"/>
      <c r="B23" s="225"/>
      <c r="C23" s="225"/>
      <c r="D23" s="225"/>
    </row>
    <row r="24" spans="1:4" ht="21">
      <c r="A24" s="617"/>
      <c r="B24" s="617"/>
      <c r="C24" s="617"/>
      <c r="D24" s="617"/>
    </row>
    <row r="25" spans="1:4" ht="21">
      <c r="A25" s="617"/>
      <c r="B25" s="617"/>
      <c r="C25" s="617"/>
      <c r="D25" s="617"/>
    </row>
    <row r="26" spans="1:4" ht="21">
      <c r="A26" s="617"/>
      <c r="B26" s="617"/>
      <c r="C26" s="617"/>
      <c r="D26" s="617"/>
    </row>
    <row r="27" spans="1:4" ht="21">
      <c r="A27" s="617"/>
      <c r="B27" s="617"/>
      <c r="C27" s="617"/>
      <c r="D27" s="617"/>
    </row>
    <row r="28" spans="1:4" ht="21">
      <c r="A28" s="225"/>
      <c r="B28" s="225"/>
      <c r="C28" s="225"/>
      <c r="D28" s="225"/>
    </row>
    <row r="29" spans="1:4" ht="21">
      <c r="A29" s="617"/>
      <c r="B29" s="617"/>
      <c r="C29" s="617"/>
      <c r="D29" s="617"/>
    </row>
    <row r="30" spans="1:4" ht="21">
      <c r="A30" s="617"/>
      <c r="B30" s="617"/>
      <c r="C30" s="617"/>
      <c r="D30" s="617"/>
    </row>
    <row r="31" spans="1:4" ht="21">
      <c r="A31" s="617"/>
      <c r="B31" s="617"/>
      <c r="C31" s="617"/>
      <c r="D31" s="617"/>
    </row>
  </sheetData>
  <mergeCells count="11">
    <mergeCell ref="A1:D1"/>
    <mergeCell ref="A2:D2"/>
    <mergeCell ref="A3:D3"/>
    <mergeCell ref="A22:D22"/>
    <mergeCell ref="A29:D29"/>
    <mergeCell ref="A30:D30"/>
    <mergeCell ref="A31:D31"/>
    <mergeCell ref="A24:D24"/>
    <mergeCell ref="A25:D25"/>
    <mergeCell ref="A26:D26"/>
    <mergeCell ref="A27:D27"/>
  </mergeCells>
  <printOptions/>
  <pageMargins left="0.75" right="0.75" top="0.38" bottom="0.24" header="0.34" footer="0.26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I87" sqref="I87"/>
    </sheetView>
  </sheetViews>
  <sheetFormatPr defaultColWidth="9.140625" defaultRowHeight="21.75"/>
  <cols>
    <col min="1" max="1" width="15.57421875" style="396" customWidth="1"/>
    <col min="2" max="2" width="15.8515625" style="396" customWidth="1"/>
    <col min="3" max="3" width="5.140625" style="396" customWidth="1"/>
    <col min="4" max="4" width="41.8515625" style="396" customWidth="1"/>
    <col min="5" max="5" width="7.28125" style="396" customWidth="1"/>
    <col min="6" max="6" width="19.8515625" style="396" customWidth="1"/>
    <col min="7" max="7" width="5.421875" style="396" customWidth="1"/>
    <col min="8" max="8" width="16.8515625" style="396" customWidth="1"/>
    <col min="9" max="9" width="12.421875" style="396" customWidth="1"/>
    <col min="10" max="10" width="12.57421875" style="396" customWidth="1"/>
    <col min="11" max="11" width="12.421875" style="396" customWidth="1"/>
    <col min="12" max="16384" width="9.140625" style="396" customWidth="1"/>
  </cols>
  <sheetData>
    <row r="1" ht="18.75">
      <c r="A1" s="395" t="s">
        <v>684</v>
      </c>
    </row>
    <row r="2" ht="18.75">
      <c r="A2" s="395" t="s">
        <v>685</v>
      </c>
    </row>
    <row r="3" spans="4:5" ht="18.75">
      <c r="D3" s="395" t="s">
        <v>18</v>
      </c>
      <c r="E3" s="396" t="s">
        <v>686</v>
      </c>
    </row>
    <row r="4" ht="18.75">
      <c r="D4" s="396" t="s">
        <v>687</v>
      </c>
    </row>
    <row r="5" spans="1:6" ht="18.75">
      <c r="A5" s="619" t="s">
        <v>1</v>
      </c>
      <c r="B5" s="619"/>
      <c r="C5" s="398"/>
      <c r="D5" s="399"/>
      <c r="E5" s="400" t="s">
        <v>5</v>
      </c>
      <c r="F5" s="397" t="s">
        <v>7</v>
      </c>
    </row>
    <row r="6" spans="1:6" s="402" customFormat="1" ht="18.75">
      <c r="A6" s="400" t="s">
        <v>688</v>
      </c>
      <c r="B6" s="400" t="s">
        <v>689</v>
      </c>
      <c r="C6" s="620" t="s">
        <v>4</v>
      </c>
      <c r="D6" s="621"/>
      <c r="E6" s="401" t="s">
        <v>6</v>
      </c>
      <c r="F6" s="400" t="s">
        <v>689</v>
      </c>
    </row>
    <row r="7" spans="1:6" ht="19.5" thickBot="1">
      <c r="A7" s="403"/>
      <c r="B7" s="404">
        <v>56126176.27</v>
      </c>
      <c r="C7" s="405" t="s">
        <v>8</v>
      </c>
      <c r="E7" s="406"/>
      <c r="F7" s="404">
        <v>69640180.32</v>
      </c>
    </row>
    <row r="8" spans="1:6" ht="19.5" thickTop="1">
      <c r="A8" s="407"/>
      <c r="B8" s="408"/>
      <c r="C8" s="409" t="s">
        <v>63</v>
      </c>
      <c r="D8" s="410" t="s">
        <v>690</v>
      </c>
      <c r="E8" s="405"/>
      <c r="F8" s="411"/>
    </row>
    <row r="9" spans="1:6" ht="18.75">
      <c r="A9" s="407">
        <v>1208000</v>
      </c>
      <c r="B9" s="407">
        <f>693.45+39741.14+500612.6+171224.54+85437.32+331830.13+162120.35+12761.07+14131.58+89.02+295111.56</f>
        <v>1613752.7600000005</v>
      </c>
      <c r="C9" s="409"/>
      <c r="D9" s="412" t="s">
        <v>9</v>
      </c>
      <c r="E9" s="413" t="s">
        <v>19</v>
      </c>
      <c r="F9" s="411">
        <f>231818+61896+1397.56</f>
        <v>295111.56</v>
      </c>
    </row>
    <row r="10" spans="1:6" ht="18.75">
      <c r="A10" s="407">
        <v>923400</v>
      </c>
      <c r="B10" s="407">
        <f>63866.3+124683+69758.6+82303.4+96817+89632.3+105258.3+108251.1+83710.3+98084.5+76714+10111.2+118251.9</f>
        <v>1127441.9</v>
      </c>
      <c r="C10" s="408"/>
      <c r="D10" s="412" t="s">
        <v>10</v>
      </c>
      <c r="E10" s="413" t="s">
        <v>26</v>
      </c>
      <c r="F10" s="411">
        <f>3331.9+113020+1000+290+410+200</f>
        <v>118251.9</v>
      </c>
    </row>
    <row r="11" spans="1:6" ht="18.75">
      <c r="A11" s="407">
        <v>185000</v>
      </c>
      <c r="B11" s="407">
        <f>266961.78+283362.4</f>
        <v>550324.18</v>
      </c>
      <c r="C11" s="408"/>
      <c r="D11" s="412" t="s">
        <v>11</v>
      </c>
      <c r="E11" s="413" t="s">
        <v>20</v>
      </c>
      <c r="F11" s="411"/>
    </row>
    <row r="12" spans="1:6" ht="18.75">
      <c r="A12" s="407">
        <v>0</v>
      </c>
      <c r="B12" s="407">
        <v>0</v>
      </c>
      <c r="C12" s="408"/>
      <c r="D12" s="412" t="s">
        <v>12</v>
      </c>
      <c r="E12" s="413" t="s">
        <v>21</v>
      </c>
      <c r="F12" s="411"/>
    </row>
    <row r="13" spans="1:6" ht="18.75">
      <c r="A13" s="407">
        <v>141000</v>
      </c>
      <c r="B13" s="407">
        <f>42910+71100+20+440+36920+20+25400+184.45+274000+320+20+2778.1</f>
        <v>454112.55</v>
      </c>
      <c r="C13" s="408"/>
      <c r="D13" s="412" t="s">
        <v>13</v>
      </c>
      <c r="E13" s="413" t="s">
        <v>22</v>
      </c>
      <c r="F13" s="411">
        <f>20+2758.1</f>
        <v>2778.1</v>
      </c>
    </row>
    <row r="14" spans="1:6" ht="18.75">
      <c r="A14" s="407">
        <v>0</v>
      </c>
      <c r="B14" s="407">
        <v>0</v>
      </c>
      <c r="C14" s="408"/>
      <c r="D14" s="412" t="s">
        <v>14</v>
      </c>
      <c r="E14" s="413" t="s">
        <v>23</v>
      </c>
      <c r="F14" s="411"/>
    </row>
    <row r="15" spans="1:6" ht="18.75">
      <c r="A15" s="414">
        <v>24545000</v>
      </c>
      <c r="B15" s="407">
        <f>1996520.97+1491478.76+1977585.6+3388783.69+1100787.51+3787128.75+2552948.08+1268003.78+1206080.15+6358213.83+59691.99+1198059.95+7712470.11</f>
        <v>34097753.169999994</v>
      </c>
      <c r="C15" s="408"/>
      <c r="D15" s="412" t="s">
        <v>15</v>
      </c>
      <c r="E15" s="413" t="s">
        <v>24</v>
      </c>
      <c r="F15" s="411">
        <f>4843870.21+691458.67+38100.62+257489.35+587236.05+28665.21+1265650</f>
        <v>7712470.109999999</v>
      </c>
    </row>
    <row r="16" spans="1:6" ht="18.75">
      <c r="A16" s="407">
        <v>12000000</v>
      </c>
      <c r="B16" s="407">
        <f>2303525+1121800+21481685</f>
        <v>24907010</v>
      </c>
      <c r="C16" s="408"/>
      <c r="D16" s="412" t="s">
        <v>251</v>
      </c>
      <c r="E16" s="413" t="s">
        <v>25</v>
      </c>
      <c r="F16" s="411"/>
    </row>
    <row r="17" spans="1:8" ht="19.5" thickBot="1">
      <c r="A17" s="415">
        <f>SUM(A9:A16)</f>
        <v>39002400</v>
      </c>
      <c r="B17" s="415">
        <f>SUM(B9:B16)</f>
        <v>62750394.559999995</v>
      </c>
      <c r="C17" s="408"/>
      <c r="D17" s="416" t="s">
        <v>17</v>
      </c>
      <c r="E17" s="405"/>
      <c r="F17" s="404">
        <f>SUM(F9:F16)</f>
        <v>8128611.669999999</v>
      </c>
      <c r="H17" s="417"/>
    </row>
    <row r="18" spans="1:8" ht="19.5" thickTop="1">
      <c r="A18" s="418"/>
      <c r="B18" s="407">
        <f>103110+305966+140448+15000-73958</f>
        <v>490566</v>
      </c>
      <c r="C18" s="408"/>
      <c r="D18" s="412" t="s">
        <v>691</v>
      </c>
      <c r="E18" s="405"/>
      <c r="F18" s="411">
        <v>15000</v>
      </c>
      <c r="H18" s="417"/>
    </row>
    <row r="19" spans="1:8" ht="18.75">
      <c r="A19" s="418"/>
      <c r="B19" s="408">
        <v>10000</v>
      </c>
      <c r="C19" s="408"/>
      <c r="D19" s="412" t="s">
        <v>692</v>
      </c>
      <c r="E19" s="405"/>
      <c r="F19" s="411"/>
      <c r="H19" s="417"/>
    </row>
    <row r="20" spans="1:8" ht="18.75">
      <c r="A20" s="418"/>
      <c r="B20" s="419">
        <f>SUM(B18:B19)</f>
        <v>500566</v>
      </c>
      <c r="C20" s="408"/>
      <c r="D20" s="416" t="s">
        <v>53</v>
      </c>
      <c r="E20" s="405"/>
      <c r="F20" s="419">
        <f>F18+F19</f>
        <v>15000</v>
      </c>
      <c r="H20" s="417"/>
    </row>
    <row r="21" spans="1:8" ht="18.75">
      <c r="A21" s="418"/>
      <c r="B21" s="407">
        <f>3124800+1205800+10139000-397500</f>
        <v>14072100</v>
      </c>
      <c r="C21" s="408"/>
      <c r="D21" s="412" t="s">
        <v>287</v>
      </c>
      <c r="E21" s="405"/>
      <c r="F21" s="411">
        <v>0</v>
      </c>
      <c r="H21" s="417"/>
    </row>
    <row r="22" spans="1:8" ht="18.75">
      <c r="A22" s="418"/>
      <c r="B22" s="407">
        <f>334500+157500+984000+8600-22100</f>
        <v>1462500</v>
      </c>
      <c r="C22" s="408"/>
      <c r="D22" s="412" t="s">
        <v>288</v>
      </c>
      <c r="E22" s="405"/>
      <c r="F22" s="411"/>
      <c r="H22" s="417"/>
    </row>
    <row r="23" spans="1:8" ht="18.75">
      <c r="A23" s="418"/>
      <c r="B23" s="407">
        <v>998000</v>
      </c>
      <c r="C23" s="408"/>
      <c r="D23" s="412" t="s">
        <v>693</v>
      </c>
      <c r="E23" s="405"/>
      <c r="F23" s="411">
        <v>0</v>
      </c>
      <c r="H23" s="417"/>
    </row>
    <row r="24" spans="1:8" ht="18.75">
      <c r="A24" s="418"/>
      <c r="B24" s="408">
        <v>998000</v>
      </c>
      <c r="C24" s="408"/>
      <c r="D24" s="412" t="s">
        <v>694</v>
      </c>
      <c r="E24" s="405"/>
      <c r="F24" s="411"/>
      <c r="H24" s="417"/>
    </row>
    <row r="25" spans="1:8" ht="18.75">
      <c r="A25" s="418"/>
      <c r="B25" s="408">
        <v>50600</v>
      </c>
      <c r="C25" s="408"/>
      <c r="D25" s="412" t="s">
        <v>695</v>
      </c>
      <c r="E25" s="405"/>
      <c r="F25" s="411">
        <v>50600</v>
      </c>
      <c r="H25" s="417"/>
    </row>
    <row r="26" spans="1:8" ht="18.75">
      <c r="A26" s="418"/>
      <c r="B26" s="408">
        <v>131500</v>
      </c>
      <c r="C26" s="408"/>
      <c r="D26" s="412" t="s">
        <v>696</v>
      </c>
      <c r="E26" s="405"/>
      <c r="F26" s="411">
        <v>131500</v>
      </c>
      <c r="H26" s="417"/>
    </row>
    <row r="27" spans="1:8" ht="18.75">
      <c r="A27" s="418"/>
      <c r="B27" s="419">
        <f>SUM(B21:B26)</f>
        <v>17712700</v>
      </c>
      <c r="C27" s="408"/>
      <c r="D27" s="416" t="s">
        <v>295</v>
      </c>
      <c r="E27" s="405"/>
      <c r="F27" s="420">
        <f>SUM(F21:F26)</f>
        <v>182100</v>
      </c>
      <c r="H27" s="417"/>
    </row>
    <row r="28" spans="1:8" ht="19.5" thickBot="1">
      <c r="A28" s="418"/>
      <c r="B28" s="404">
        <f>B17+B27+B20</f>
        <v>80963660.56</v>
      </c>
      <c r="C28" s="421" t="s">
        <v>293</v>
      </c>
      <c r="D28" s="412"/>
      <c r="E28" s="405"/>
      <c r="F28" s="404">
        <f>F17+F27+F20</f>
        <v>8325711.669999999</v>
      </c>
      <c r="H28" s="417"/>
    </row>
    <row r="29" spans="1:6" ht="19.5" thickTop="1">
      <c r="A29" s="418"/>
      <c r="B29" s="407">
        <f>647532.52+2428992.17+10483.27+40327.43+20065.79+172.6+88092.78+57237.69+18499.61+70077.16+69772.74+999597.81+2716.17+22305.87</f>
        <v>4475873.61</v>
      </c>
      <c r="C29" s="408"/>
      <c r="D29" s="412" t="s">
        <v>697</v>
      </c>
      <c r="E29" s="413"/>
      <c r="F29" s="422">
        <v>22305.87</v>
      </c>
    </row>
    <row r="30" spans="1:6" ht="18.75">
      <c r="A30" s="418"/>
      <c r="B30" s="407">
        <f>695+23299+25372+15839+28854.06+4935+47718+127484+124604.84</f>
        <v>398800.9</v>
      </c>
      <c r="C30" s="408"/>
      <c r="D30" s="412" t="s">
        <v>36</v>
      </c>
      <c r="E30" s="413"/>
      <c r="F30" s="411">
        <f>500+89850+34254.84</f>
        <v>124604.84</v>
      </c>
    </row>
    <row r="31" spans="1:6" ht="18.75">
      <c r="A31" s="418"/>
      <c r="B31" s="407">
        <f>7030+7418+19921+4716</f>
        <v>39085</v>
      </c>
      <c r="C31" s="408"/>
      <c r="D31" s="412" t="s">
        <v>198</v>
      </c>
      <c r="E31" s="413"/>
      <c r="F31" s="411">
        <v>4716</v>
      </c>
    </row>
    <row r="32" spans="1:6" ht="18.75">
      <c r="A32" s="418"/>
      <c r="B32" s="407">
        <v>1960157</v>
      </c>
      <c r="C32" s="408"/>
      <c r="D32" s="423" t="s">
        <v>250</v>
      </c>
      <c r="E32" s="413"/>
      <c r="F32" s="411">
        <v>1960157</v>
      </c>
    </row>
    <row r="33" spans="1:6" ht="18.75">
      <c r="A33" s="418"/>
      <c r="B33" s="407">
        <v>3247493.7</v>
      </c>
      <c r="C33" s="408"/>
      <c r="D33" s="423" t="s">
        <v>51</v>
      </c>
      <c r="E33" s="413"/>
      <c r="F33" s="411">
        <v>3247493.7</v>
      </c>
    </row>
    <row r="34" spans="1:6" ht="18.75">
      <c r="A34" s="418"/>
      <c r="B34" s="407">
        <f>10000+15000</f>
        <v>25000</v>
      </c>
      <c r="C34" s="408"/>
      <c r="D34" s="412" t="s">
        <v>199</v>
      </c>
      <c r="E34" s="413"/>
      <c r="F34" s="411"/>
    </row>
    <row r="35" spans="1:6" ht="18.75">
      <c r="A35" s="418"/>
      <c r="B35" s="407">
        <f>6750</f>
        <v>6750</v>
      </c>
      <c r="C35" s="408"/>
      <c r="D35" s="412" t="s">
        <v>698</v>
      </c>
      <c r="E35" s="413"/>
      <c r="F35" s="411">
        <v>0</v>
      </c>
    </row>
    <row r="36" spans="1:6" ht="18.75">
      <c r="A36" s="418"/>
      <c r="B36" s="407">
        <f>106.75+40.42+28.95+1.11+5.74+585.91+208.25+99.6+55.08</f>
        <v>1131.81</v>
      </c>
      <c r="C36" s="408"/>
      <c r="D36" s="412" t="s">
        <v>252</v>
      </c>
      <c r="E36" s="413"/>
      <c r="F36" s="411"/>
    </row>
    <row r="37" spans="1:6" ht="18.75">
      <c r="A37" s="418"/>
      <c r="B37" s="407">
        <f>7500+34960+1500+105570+550900+63000+362200+100650+125800+188410+1500+52500</f>
        <v>1594490</v>
      </c>
      <c r="C37" s="408"/>
      <c r="D37" s="412" t="s">
        <v>699</v>
      </c>
      <c r="E37" s="413"/>
      <c r="F37" s="411">
        <f>1500+6000+45000</f>
        <v>52500</v>
      </c>
    </row>
    <row r="38" spans="1:6" ht="18.75">
      <c r="A38" s="418"/>
      <c r="B38" s="407">
        <f>4000+249500+1793500+1358700+3205763+1212.9+202108</f>
        <v>6814783.9</v>
      </c>
      <c r="C38" s="408"/>
      <c r="D38" s="412" t="s">
        <v>700</v>
      </c>
      <c r="E38" s="413"/>
      <c r="F38" s="411"/>
    </row>
    <row r="39" spans="1:6" ht="18.75">
      <c r="A39" s="418"/>
      <c r="B39" s="419">
        <f>SUM(B29:B38)</f>
        <v>18563565.92</v>
      </c>
      <c r="C39" s="408"/>
      <c r="D39" s="416" t="s">
        <v>189</v>
      </c>
      <c r="E39" s="413"/>
      <c r="F39" s="419">
        <f>SUM(F29:F38)</f>
        <v>5411777.41</v>
      </c>
    </row>
    <row r="40" spans="1:8" ht="19.5" thickBot="1">
      <c r="A40" s="418"/>
      <c r="B40" s="404">
        <f>B28+B39</f>
        <v>99527226.48</v>
      </c>
      <c r="C40" s="408"/>
      <c r="D40" s="416" t="s">
        <v>67</v>
      </c>
      <c r="E40" s="424"/>
      <c r="F40" s="404">
        <f>F28+F39</f>
        <v>13737489.079999998</v>
      </c>
      <c r="H40" s="425"/>
    </row>
    <row r="41" spans="1:6" ht="14.25" customHeight="1" thickTop="1">
      <c r="A41" s="418"/>
      <c r="B41" s="418"/>
      <c r="C41" s="418"/>
      <c r="D41" s="426"/>
      <c r="E41" s="410"/>
      <c r="F41" s="418"/>
    </row>
    <row r="42" spans="1:6" ht="18.75">
      <c r="A42" s="418"/>
      <c r="B42" s="418"/>
      <c r="C42" s="418"/>
      <c r="D42" s="427"/>
      <c r="E42" s="410"/>
      <c r="F42" s="418"/>
    </row>
    <row r="43" spans="1:6" ht="18.75">
      <c r="A43" s="418"/>
      <c r="B43" s="418"/>
      <c r="C43" s="418"/>
      <c r="D43" s="427"/>
      <c r="E43" s="410"/>
      <c r="F43" s="418"/>
    </row>
    <row r="44" spans="1:6" ht="18.75">
      <c r="A44" s="418"/>
      <c r="B44" s="418"/>
      <c r="C44" s="418"/>
      <c r="D44" s="427"/>
      <c r="E44" s="410"/>
      <c r="F44" s="418"/>
    </row>
    <row r="45" spans="1:6" ht="18.75">
      <c r="A45" s="418"/>
      <c r="B45" s="418"/>
      <c r="C45" s="418"/>
      <c r="D45" s="427"/>
      <c r="E45" s="410"/>
      <c r="F45" s="418"/>
    </row>
    <row r="46" spans="1:7" ht="18.75">
      <c r="A46" s="418"/>
      <c r="B46" s="418"/>
      <c r="C46" s="418"/>
      <c r="D46" s="427"/>
      <c r="E46" s="410"/>
      <c r="F46" s="418"/>
      <c r="G46" s="410"/>
    </row>
    <row r="47" spans="1:10" ht="18.75">
      <c r="A47" s="428"/>
      <c r="B47" s="428"/>
      <c r="C47" s="429" t="s">
        <v>27</v>
      </c>
      <c r="D47" s="399"/>
      <c r="E47" s="430"/>
      <c r="F47" s="428"/>
      <c r="H47" s="402"/>
      <c r="I47" s="431"/>
      <c r="J47" s="431"/>
    </row>
    <row r="48" spans="1:10" ht="18.75">
      <c r="A48" s="411">
        <v>4883414</v>
      </c>
      <c r="B48" s="411">
        <f>1500+58763+298282+87716+16852+37032+16639+2841041+44526.4+17131+58035+69765.85</f>
        <v>3547283.25</v>
      </c>
      <c r="C48" s="432"/>
      <c r="D48" s="412" t="s">
        <v>28</v>
      </c>
      <c r="E48" s="413" t="s">
        <v>73</v>
      </c>
      <c r="F48" s="411">
        <f>68265.85+1500</f>
        <v>69765.85</v>
      </c>
      <c r="H48" s="417"/>
      <c r="I48" s="431"/>
      <c r="J48" s="431"/>
    </row>
    <row r="49" spans="1:11" ht="18.75">
      <c r="A49" s="411">
        <v>5978770</v>
      </c>
      <c r="B49" s="411">
        <f>488807.09+468314.51+455473.53+451220.26+441290+463550+466910+465230+487830+488215+5730+480788-11580+622755</f>
        <v>5774533.390000001</v>
      </c>
      <c r="C49" s="432"/>
      <c r="D49" s="412" t="s">
        <v>29</v>
      </c>
      <c r="E49" s="413">
        <v>100</v>
      </c>
      <c r="F49" s="411">
        <f>551985-1050+16470+55350</f>
        <v>622755</v>
      </c>
      <c r="H49" s="417"/>
      <c r="I49" s="431"/>
      <c r="J49" s="431"/>
      <c r="K49" s="425" t="s">
        <v>277</v>
      </c>
    </row>
    <row r="50" spans="1:11" ht="18.75">
      <c r="A50" s="411">
        <v>3435060</v>
      </c>
      <c r="B50" s="411">
        <f>295740+246760+241920+241300.65+240720+241880+247738.66+252340+248920+505958+285860-6517+337609</f>
        <v>3380229.3099999996</v>
      </c>
      <c r="C50" s="432"/>
      <c r="D50" s="412" t="s">
        <v>203</v>
      </c>
      <c r="E50" s="413" t="s">
        <v>74</v>
      </c>
      <c r="F50" s="411">
        <f>346809-9200</f>
        <v>337609</v>
      </c>
      <c r="H50" s="417"/>
      <c r="I50" s="431"/>
      <c r="J50" s="431"/>
      <c r="K50" s="425"/>
    </row>
    <row r="51" spans="1:11" ht="18.75">
      <c r="A51" s="433">
        <v>5320710</v>
      </c>
      <c r="B51" s="411">
        <f>392807+223511.75+231440.25+219982.5+225823.5+221685-600+219114+250425+214196+93601.75+19751+95129+2340672</f>
        <v>4747538.75</v>
      </c>
      <c r="C51" s="432"/>
      <c r="D51" s="412" t="s">
        <v>30</v>
      </c>
      <c r="E51" s="413" t="s">
        <v>39</v>
      </c>
      <c r="F51" s="411">
        <f>119755+1960157+187380+73380</f>
        <v>2340672</v>
      </c>
      <c r="H51" s="417"/>
      <c r="I51" s="431"/>
      <c r="J51" s="431"/>
      <c r="K51" s="425" t="s">
        <v>277</v>
      </c>
    </row>
    <row r="52" spans="1:11" ht="18.75">
      <c r="A52" s="433">
        <v>9681950</v>
      </c>
      <c r="B52" s="433">
        <f>13486+125441.4+287117+443054.09+911843+694496+600+941691+1026685+690425.98+1757998.94+379576.16+153101+1046175.76</f>
        <v>8471691.33</v>
      </c>
      <c r="C52" s="432"/>
      <c r="D52" s="412" t="s">
        <v>31</v>
      </c>
      <c r="E52" s="413" t="s">
        <v>40</v>
      </c>
      <c r="F52" s="411">
        <f>710785.76+6000+45000+284390</f>
        <v>1046175.76</v>
      </c>
      <c r="H52" s="434"/>
      <c r="I52" s="431"/>
      <c r="J52" s="431"/>
      <c r="K52" s="425"/>
    </row>
    <row r="53" spans="1:11" ht="18.75">
      <c r="A53" s="433">
        <v>4263673</v>
      </c>
      <c r="B53" s="433">
        <f>91338.75+149061.6+94352.75+238684.4+160709.65+145681+384213+146539.2+515645.55+244099.85+208852.5+1423488.59</f>
        <v>3802666.84</v>
      </c>
      <c r="C53" s="432"/>
      <c r="D53" s="412" t="s">
        <v>32</v>
      </c>
      <c r="E53" s="413" t="s">
        <v>41</v>
      </c>
      <c r="F53" s="411">
        <f>1083314.89+340173.7</f>
        <v>1423488.5899999999</v>
      </c>
      <c r="H53" s="434"/>
      <c r="I53" s="431"/>
      <c r="J53" s="431"/>
      <c r="K53" s="425"/>
    </row>
    <row r="54" spans="1:11" ht="18.75">
      <c r="A54" s="411">
        <v>466000</v>
      </c>
      <c r="B54" s="433">
        <f>3986.02+26627.44+25086.71+5086.14+16242.51+51570.24+107+28029.26+1183.45+76637.59+23038.1+52583.21</f>
        <v>310177.67000000004</v>
      </c>
      <c r="C54" s="432"/>
      <c r="D54" s="412" t="s">
        <v>33</v>
      </c>
      <c r="E54" s="413" t="s">
        <v>42</v>
      </c>
      <c r="F54" s="411">
        <v>52583.21</v>
      </c>
      <c r="H54" s="434"/>
      <c r="I54" s="431"/>
      <c r="J54" s="431"/>
      <c r="K54" s="425"/>
    </row>
    <row r="55" spans="1:11" ht="18.75">
      <c r="A55" s="411">
        <v>2421123</v>
      </c>
      <c r="B55" s="411">
        <f>845000+50000+201909.42+845000+4981.02+120000</f>
        <v>2066890.44</v>
      </c>
      <c r="C55" s="432"/>
      <c r="D55" s="412" t="s">
        <v>16</v>
      </c>
      <c r="E55" s="413" t="s">
        <v>43</v>
      </c>
      <c r="F55" s="411">
        <v>120000</v>
      </c>
      <c r="H55" s="434"/>
      <c r="I55" s="431"/>
      <c r="J55" s="431"/>
      <c r="K55" s="425"/>
    </row>
    <row r="56" spans="1:11" ht="18.75">
      <c r="A56" s="411">
        <v>171500</v>
      </c>
      <c r="B56" s="411">
        <f>164900+4300</f>
        <v>169200</v>
      </c>
      <c r="C56" s="432"/>
      <c r="D56" s="412" t="s">
        <v>34</v>
      </c>
      <c r="E56" s="413" t="s">
        <v>44</v>
      </c>
      <c r="F56" s="411">
        <v>4300</v>
      </c>
      <c r="H56" s="434"/>
      <c r="I56" s="431"/>
      <c r="J56" s="431"/>
      <c r="K56" s="425"/>
    </row>
    <row r="57" spans="1:11" ht="18.75">
      <c r="A57" s="411">
        <v>2380200</v>
      </c>
      <c r="B57" s="411">
        <v>2380200</v>
      </c>
      <c r="C57" s="432"/>
      <c r="D57" s="412" t="s">
        <v>35</v>
      </c>
      <c r="E57" s="413" t="s">
        <v>45</v>
      </c>
      <c r="F57" s="411">
        <v>2380200</v>
      </c>
      <c r="H57" s="434"/>
      <c r="I57" s="431"/>
      <c r="J57" s="431"/>
      <c r="K57" s="425"/>
    </row>
    <row r="58" spans="1:11" ht="19.5" thickBot="1">
      <c r="A58" s="415">
        <f>SUM(A48:A57)</f>
        <v>39002400</v>
      </c>
      <c r="B58" s="404">
        <f>SUM(B48:B57)</f>
        <v>34650410.980000004</v>
      </c>
      <c r="C58" s="622" t="s">
        <v>204</v>
      </c>
      <c r="D58" s="624"/>
      <c r="E58" s="413"/>
      <c r="F58" s="404">
        <f>SUM(F48:F57)</f>
        <v>8397549.41</v>
      </c>
      <c r="H58" s="425"/>
      <c r="I58" s="431"/>
      <c r="J58" s="431"/>
      <c r="K58" s="425"/>
    </row>
    <row r="59" spans="1:11" ht="19.5" thickTop="1">
      <c r="A59" s="418"/>
      <c r="B59" s="433">
        <f>103110+33777+202805+33080+117794</f>
        <v>490566</v>
      </c>
      <c r="C59" s="435"/>
      <c r="D59" s="412" t="s">
        <v>691</v>
      </c>
      <c r="E59" s="413"/>
      <c r="F59" s="411">
        <v>117794</v>
      </c>
      <c r="H59" s="425"/>
      <c r="I59" s="431"/>
      <c r="J59" s="431"/>
      <c r="K59" s="425"/>
    </row>
    <row r="60" spans="1:11" ht="18.75">
      <c r="A60" s="418"/>
      <c r="B60" s="411">
        <v>10000</v>
      </c>
      <c r="C60" s="435"/>
      <c r="D60" s="412" t="s">
        <v>692</v>
      </c>
      <c r="E60" s="413"/>
      <c r="F60" s="411"/>
      <c r="H60" s="425"/>
      <c r="I60" s="431"/>
      <c r="J60" s="431"/>
      <c r="K60" s="425"/>
    </row>
    <row r="61" spans="1:11" ht="18.75">
      <c r="A61" s="418"/>
      <c r="B61" s="419">
        <f>SUM(B59:B60)</f>
        <v>500566</v>
      </c>
      <c r="C61" s="435"/>
      <c r="D61" s="416" t="s">
        <v>53</v>
      </c>
      <c r="E61" s="413"/>
      <c r="F61" s="419">
        <f>SUM(F59:F60)</f>
        <v>117794</v>
      </c>
      <c r="H61" s="425"/>
      <c r="I61" s="431"/>
      <c r="J61" s="431"/>
      <c r="K61" s="425"/>
    </row>
    <row r="62" spans="1:11" ht="18.75">
      <c r="A62" s="418"/>
      <c r="B62" s="433">
        <f>2688000+410800+1185600+2815200-7800+1172200+1168900+1164500+1162400+1158600+1153700</f>
        <v>14072100</v>
      </c>
      <c r="C62" s="432"/>
      <c r="D62" s="412" t="s">
        <v>287</v>
      </c>
      <c r="E62" s="413"/>
      <c r="F62" s="411">
        <f>103000+1050700</f>
        <v>1153700</v>
      </c>
      <c r="H62" s="425"/>
      <c r="I62" s="431"/>
      <c r="J62" s="431"/>
      <c r="K62" s="425"/>
    </row>
    <row r="63" spans="1:11" ht="18.75">
      <c r="A63" s="418"/>
      <c r="B63" s="433">
        <f>246000+88500+157500+245500+122000+122000+122000+121000+119000+119000</f>
        <v>1462500</v>
      </c>
      <c r="C63" s="432"/>
      <c r="D63" s="412" t="s">
        <v>288</v>
      </c>
      <c r="E63" s="413"/>
      <c r="F63" s="411">
        <f>27100+114000-22100</f>
        <v>119000</v>
      </c>
      <c r="H63" s="425"/>
      <c r="I63" s="431"/>
      <c r="J63" s="431"/>
      <c r="K63" s="425"/>
    </row>
    <row r="64" spans="1:11" ht="18.75">
      <c r="A64" s="418"/>
      <c r="B64" s="433">
        <f>998000</f>
        <v>998000</v>
      </c>
      <c r="C64" s="432"/>
      <c r="D64" s="412" t="s">
        <v>693</v>
      </c>
      <c r="E64" s="413"/>
      <c r="F64" s="411">
        <v>0</v>
      </c>
      <c r="H64" s="425"/>
      <c r="I64" s="431"/>
      <c r="J64" s="431"/>
      <c r="K64" s="425"/>
    </row>
    <row r="65" spans="1:11" ht="18.75">
      <c r="A65" s="418"/>
      <c r="B65" s="433">
        <v>998000</v>
      </c>
      <c r="C65" s="432"/>
      <c r="D65" s="412" t="s">
        <v>694</v>
      </c>
      <c r="E65" s="413"/>
      <c r="F65" s="411"/>
      <c r="H65" s="425"/>
      <c r="I65" s="431"/>
      <c r="J65" s="431"/>
      <c r="K65" s="425"/>
    </row>
    <row r="66" spans="1:11" ht="18.75">
      <c r="A66" s="418"/>
      <c r="B66" s="433">
        <v>50600</v>
      </c>
      <c r="C66" s="432"/>
      <c r="D66" s="412" t="s">
        <v>695</v>
      </c>
      <c r="E66" s="413"/>
      <c r="F66" s="411">
        <v>50600</v>
      </c>
      <c r="H66" s="425"/>
      <c r="I66" s="431"/>
      <c r="J66" s="431"/>
      <c r="K66" s="425"/>
    </row>
    <row r="67" spans="1:11" ht="18.75">
      <c r="A67" s="418"/>
      <c r="B67" s="433">
        <v>131500</v>
      </c>
      <c r="C67" s="432"/>
      <c r="D67" s="412" t="s">
        <v>696</v>
      </c>
      <c r="E67" s="413"/>
      <c r="F67" s="411">
        <v>131500</v>
      </c>
      <c r="H67" s="425"/>
      <c r="I67" s="431"/>
      <c r="J67" s="431"/>
      <c r="K67" s="425"/>
    </row>
    <row r="68" spans="1:11" ht="18.75">
      <c r="A68" s="418"/>
      <c r="B68" s="436">
        <f>SUM(B62:B67)</f>
        <v>17712700</v>
      </c>
      <c r="C68" s="432"/>
      <c r="D68" s="416" t="s">
        <v>296</v>
      </c>
      <c r="E68" s="413"/>
      <c r="F68" s="419">
        <f>SUM(F62:F67)</f>
        <v>1454800</v>
      </c>
      <c r="H68" s="425"/>
      <c r="I68" s="431"/>
      <c r="J68" s="431"/>
      <c r="K68" s="425"/>
    </row>
    <row r="69" spans="1:11" ht="19.5" thickBot="1">
      <c r="A69" s="418"/>
      <c r="B69" s="404">
        <f>B58+B68+B61</f>
        <v>52863676.980000004</v>
      </c>
      <c r="C69" s="437" t="s">
        <v>294</v>
      </c>
      <c r="D69" s="412"/>
      <c r="E69" s="413"/>
      <c r="F69" s="404">
        <f>F58+F68+F61</f>
        <v>9970143.41</v>
      </c>
      <c r="H69" s="425"/>
      <c r="I69" s="431"/>
      <c r="J69" s="431"/>
      <c r="K69" s="425"/>
    </row>
    <row r="70" spans="1:11" ht="19.5" thickTop="1">
      <c r="A70" s="418"/>
      <c r="B70" s="411">
        <f>77507.72+3053054+36910+53427.62+90994.71+23790.19+11180.08+19951.04+41000.17</f>
        <v>3407815.5300000003</v>
      </c>
      <c r="C70" s="437"/>
      <c r="D70" s="412" t="s">
        <v>697</v>
      </c>
      <c r="E70" s="413"/>
      <c r="F70" s="411">
        <f>41000.17+397500+22100+73958</f>
        <v>534558.1699999999</v>
      </c>
      <c r="H70" s="425"/>
      <c r="I70" s="431"/>
      <c r="J70" s="431"/>
      <c r="K70" s="425"/>
    </row>
    <row r="71" spans="1:10" ht="18.75">
      <c r="A71" s="410"/>
      <c r="B71" s="438">
        <f>7500+94960+41700+552370+52700+374900+100250+57000+192520+66590+1500+6000+46500</f>
        <v>1594490</v>
      </c>
      <c r="C71" s="410"/>
      <c r="D71" s="423" t="s">
        <v>701</v>
      </c>
      <c r="E71" s="413"/>
      <c r="F71" s="411">
        <v>46500</v>
      </c>
      <c r="H71" s="425"/>
      <c r="I71" s="431"/>
      <c r="J71" s="431"/>
    </row>
    <row r="72" spans="1:6" ht="18.75">
      <c r="A72" s="439"/>
      <c r="B72" s="438">
        <f>1060160+1055843+68870+1855582.9+1333020+1332177+7800+33777+33777+33777</f>
        <v>6814783.9</v>
      </c>
      <c r="C72" s="426"/>
      <c r="D72" s="423" t="s">
        <v>253</v>
      </c>
      <c r="E72" s="405"/>
      <c r="F72" s="440"/>
    </row>
    <row r="73" spans="1:6" ht="18.75">
      <c r="A73" s="439"/>
      <c r="B73" s="438">
        <v>1397.56</v>
      </c>
      <c r="C73" s="426"/>
      <c r="D73" s="412" t="s">
        <v>252</v>
      </c>
      <c r="E73" s="405"/>
      <c r="F73" s="440">
        <v>1397.56</v>
      </c>
    </row>
    <row r="74" spans="1:6" ht="18.75">
      <c r="A74" s="439"/>
      <c r="B74" s="438">
        <f>1635021.41+6234+34254.59</f>
        <v>1675510</v>
      </c>
      <c r="C74" s="426"/>
      <c r="D74" s="423" t="s">
        <v>250</v>
      </c>
      <c r="E74" s="405"/>
      <c r="F74" s="440">
        <v>34254.59</v>
      </c>
    </row>
    <row r="75" spans="1:6" ht="18.75">
      <c r="A75" s="439"/>
      <c r="B75" s="438">
        <f>2320000+15000+250666.36+126999.75+0.25</f>
        <v>2712666.36</v>
      </c>
      <c r="C75" s="426"/>
      <c r="D75" s="423" t="s">
        <v>51</v>
      </c>
      <c r="E75" s="405"/>
      <c r="F75" s="440">
        <v>0.25</v>
      </c>
    </row>
    <row r="76" spans="1:6" ht="18.75">
      <c r="A76" s="439"/>
      <c r="B76" s="438">
        <f>139000+877498+735400+3154849+2747000+726600+235000+1165000+2198000</f>
        <v>11978347</v>
      </c>
      <c r="C76" s="426"/>
      <c r="D76" s="423" t="s">
        <v>75</v>
      </c>
      <c r="E76" s="405"/>
      <c r="F76" s="440"/>
    </row>
    <row r="77" spans="1:8" s="410" customFormat="1" ht="18.75">
      <c r="A77" s="439"/>
      <c r="B77" s="438">
        <f>100000+465500+234000+1014400+727437</f>
        <v>2541337</v>
      </c>
      <c r="C77" s="426"/>
      <c r="D77" s="423" t="s">
        <v>702</v>
      </c>
      <c r="E77" s="405"/>
      <c r="F77" s="440">
        <v>727437</v>
      </c>
      <c r="H77" s="441"/>
    </row>
    <row r="78" spans="1:6" s="410" customFormat="1" ht="18.75">
      <c r="A78" s="442"/>
      <c r="B78" s="443">
        <f>SUM(B70:B77)</f>
        <v>30726347.35</v>
      </c>
      <c r="C78" s="426"/>
      <c r="D78" s="426" t="s">
        <v>189</v>
      </c>
      <c r="E78" s="424"/>
      <c r="F78" s="419">
        <f>SUM(F70:F77)</f>
        <v>1344147.5699999998</v>
      </c>
    </row>
    <row r="79" spans="1:8" ht="19.5" thickBot="1">
      <c r="A79" s="412"/>
      <c r="B79" s="404">
        <f>B69+B78</f>
        <v>83590024.33000001</v>
      </c>
      <c r="C79" s="622" t="s">
        <v>76</v>
      </c>
      <c r="D79" s="623"/>
      <c r="E79" s="624"/>
      <c r="F79" s="404">
        <f>F69+F78</f>
        <v>11314290.98</v>
      </c>
      <c r="H79" s="431"/>
    </row>
    <row r="80" spans="1:6" ht="19.5" thickTop="1">
      <c r="A80" s="444"/>
      <c r="B80" s="411"/>
      <c r="C80" s="625" t="s">
        <v>37</v>
      </c>
      <c r="D80" s="626"/>
      <c r="E80" s="412"/>
      <c r="F80" s="411"/>
    </row>
    <row r="81" spans="1:8" ht="18.75">
      <c r="A81" s="445"/>
      <c r="B81" s="411">
        <f>B40-B79</f>
        <v>15937202.149999991</v>
      </c>
      <c r="C81" s="625" t="s">
        <v>703</v>
      </c>
      <c r="D81" s="623"/>
      <c r="E81" s="412"/>
      <c r="F81" s="411">
        <f>F40-F79</f>
        <v>2423198.0999999978</v>
      </c>
      <c r="H81" s="425"/>
    </row>
    <row r="82" spans="1:6" ht="18.75">
      <c r="A82" s="412"/>
      <c r="B82" s="405"/>
      <c r="C82" s="622" t="s">
        <v>205</v>
      </c>
      <c r="D82" s="623"/>
      <c r="E82" s="412"/>
      <c r="F82" s="411"/>
    </row>
    <row r="83" spans="1:8" ht="19.5" thickBot="1">
      <c r="A83" s="412"/>
      <c r="B83" s="404">
        <f>B7+B81</f>
        <v>72063378.41999999</v>
      </c>
      <c r="C83" s="622" t="s">
        <v>38</v>
      </c>
      <c r="D83" s="623"/>
      <c r="E83" s="412"/>
      <c r="F83" s="404">
        <f>F7+F81</f>
        <v>72063378.41999999</v>
      </c>
      <c r="H83" s="417"/>
    </row>
    <row r="84" spans="1:8" ht="19.5" thickTop="1">
      <c r="A84" s="410"/>
      <c r="B84" s="418"/>
      <c r="C84" s="426"/>
      <c r="D84" s="426"/>
      <c r="E84" s="410"/>
      <c r="F84" s="446"/>
      <c r="H84" s="417"/>
    </row>
    <row r="85" spans="1:8" ht="18.75">
      <c r="A85" s="410"/>
      <c r="B85" s="418"/>
      <c r="C85" s="426"/>
      <c r="D85" s="426"/>
      <c r="E85" s="410"/>
      <c r="F85" s="446"/>
      <c r="H85" s="417"/>
    </row>
    <row r="86" spans="1:8" ht="18.75">
      <c r="A86" s="410"/>
      <c r="B86" s="418"/>
      <c r="C86" s="426"/>
      <c r="D86" s="426"/>
      <c r="E86" s="410"/>
      <c r="F86" s="446"/>
      <c r="H86" s="417"/>
    </row>
    <row r="87" spans="1:8" ht="18.75">
      <c r="A87" s="410"/>
      <c r="B87" s="418"/>
      <c r="C87" s="426"/>
      <c r="D87" s="426"/>
      <c r="E87" s="410"/>
      <c r="F87" s="446"/>
      <c r="H87" s="417"/>
    </row>
    <row r="88" spans="1:8" ht="18.75">
      <c r="A88" s="410"/>
      <c r="B88" s="418"/>
      <c r="C88" s="426"/>
      <c r="D88" s="426"/>
      <c r="E88" s="410"/>
      <c r="F88" s="418"/>
      <c r="H88" s="417"/>
    </row>
    <row r="89" spans="1:8" ht="18.75">
      <c r="A89" s="410"/>
      <c r="B89" s="418"/>
      <c r="C89" s="426"/>
      <c r="D89" s="426"/>
      <c r="E89" s="410"/>
      <c r="F89" s="418"/>
      <c r="H89" s="425"/>
    </row>
    <row r="90" spans="1:6" ht="18.75">
      <c r="A90" s="410"/>
      <c r="B90" s="418"/>
      <c r="C90" s="426"/>
      <c r="D90" s="426"/>
      <c r="E90" s="410"/>
      <c r="F90" s="418"/>
    </row>
    <row r="92" ht="18.75">
      <c r="H92" s="425"/>
    </row>
    <row r="111" ht="18.75">
      <c r="B111" s="431"/>
    </row>
    <row r="112" ht="18.75">
      <c r="B112" s="425"/>
    </row>
  </sheetData>
  <mergeCells count="8">
    <mergeCell ref="A5:B5"/>
    <mergeCell ref="C6:D6"/>
    <mergeCell ref="C82:D82"/>
    <mergeCell ref="C83:D83"/>
    <mergeCell ref="C58:D58"/>
    <mergeCell ref="C79:E79"/>
    <mergeCell ref="C80:D80"/>
    <mergeCell ref="C81:D81"/>
  </mergeCells>
  <printOptions/>
  <pageMargins left="0.33" right="0.2755905511811024" top="0" bottom="0" header="0.2362204724409449" footer="0.21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28" sqref="E28"/>
    </sheetView>
  </sheetViews>
  <sheetFormatPr defaultColWidth="9.140625" defaultRowHeight="21.75"/>
  <cols>
    <col min="1" max="1" width="40.8515625" style="1" customWidth="1"/>
    <col min="2" max="3" width="15.7109375" style="1" customWidth="1"/>
    <col min="4" max="4" width="13.8515625" style="1" customWidth="1"/>
    <col min="5" max="5" width="15.7109375" style="1" customWidth="1"/>
    <col min="6" max="16384" width="9.140625" style="1" customWidth="1"/>
  </cols>
  <sheetData>
    <row r="1" spans="1:5" ht="23.25">
      <c r="A1" s="587" t="s">
        <v>684</v>
      </c>
      <c r="B1" s="587"/>
      <c r="C1" s="587"/>
      <c r="D1" s="587"/>
      <c r="E1" s="587"/>
    </row>
    <row r="2" spans="1:5" ht="23.25">
      <c r="A2" s="587" t="s">
        <v>722</v>
      </c>
      <c r="B2" s="587"/>
      <c r="C2" s="587"/>
      <c r="D2" s="587"/>
      <c r="E2" s="587"/>
    </row>
    <row r="3" spans="1:3" ht="23.25">
      <c r="A3" s="453"/>
      <c r="B3" s="453"/>
      <c r="C3" s="453"/>
    </row>
    <row r="4" spans="1:5" ht="23.25">
      <c r="A4" s="1" t="s">
        <v>723</v>
      </c>
      <c r="B4" s="3" t="s">
        <v>8</v>
      </c>
      <c r="C4" s="3" t="s">
        <v>724</v>
      </c>
      <c r="D4" s="3" t="s">
        <v>725</v>
      </c>
      <c r="E4" s="3" t="s">
        <v>640</v>
      </c>
    </row>
    <row r="5" spans="1:5" ht="23.25">
      <c r="A5" s="369" t="s">
        <v>52</v>
      </c>
      <c r="B5" s="7">
        <v>38242.07</v>
      </c>
      <c r="C5" s="7">
        <v>19922.21</v>
      </c>
      <c r="D5" s="7">
        <v>38242.07</v>
      </c>
      <c r="E5" s="7">
        <f aca="true" t="shared" si="0" ref="E5:E10">B5+C5-D5</f>
        <v>19922.21</v>
      </c>
    </row>
    <row r="6" spans="1:5" ht="23.25">
      <c r="A6" s="369" t="s">
        <v>726</v>
      </c>
      <c r="B6" s="7">
        <v>1743215</v>
      </c>
      <c r="C6" s="7">
        <v>0</v>
      </c>
      <c r="D6" s="7">
        <v>0</v>
      </c>
      <c r="E6" s="7">
        <f t="shared" si="0"/>
        <v>1743215</v>
      </c>
    </row>
    <row r="7" spans="1:5" s="4" customFormat="1" ht="23.25">
      <c r="A7" s="369" t="s">
        <v>727</v>
      </c>
      <c r="B7" s="16">
        <v>2915.18</v>
      </c>
      <c r="C7" s="16"/>
      <c r="D7" s="16">
        <v>0</v>
      </c>
      <c r="E7" s="7">
        <f t="shared" si="0"/>
        <v>2915.18</v>
      </c>
    </row>
    <row r="8" spans="1:5" ht="23.25">
      <c r="A8" s="369" t="s">
        <v>728</v>
      </c>
      <c r="B8" s="7">
        <v>991.06</v>
      </c>
      <c r="C8" s="7">
        <v>0</v>
      </c>
      <c r="D8" s="7">
        <v>0</v>
      </c>
      <c r="E8" s="7">
        <f t="shared" si="0"/>
        <v>991.06</v>
      </c>
    </row>
    <row r="9" spans="1:5" ht="23.25">
      <c r="A9" s="369" t="s">
        <v>729</v>
      </c>
      <c r="B9" s="7">
        <v>2499</v>
      </c>
      <c r="C9" s="7">
        <v>259.1</v>
      </c>
      <c r="D9" s="7">
        <v>2758.1</v>
      </c>
      <c r="E9" s="7">
        <f t="shared" si="0"/>
        <v>0</v>
      </c>
    </row>
    <row r="10" spans="1:5" ht="23.25">
      <c r="A10" s="454" t="s">
        <v>730</v>
      </c>
      <c r="B10" s="7">
        <v>1100000</v>
      </c>
      <c r="C10" s="7">
        <v>0</v>
      </c>
      <c r="D10" s="7">
        <v>0</v>
      </c>
      <c r="E10" s="7">
        <f t="shared" si="0"/>
        <v>1100000</v>
      </c>
    </row>
    <row r="11" spans="1:5" ht="23.25">
      <c r="A11" s="454" t="s">
        <v>731</v>
      </c>
      <c r="B11" s="455">
        <v>36910</v>
      </c>
      <c r="C11" s="455">
        <v>2124.56</v>
      </c>
      <c r="D11" s="455">
        <v>0</v>
      </c>
      <c r="E11" s="455">
        <f>B11+C11</f>
        <v>39034.56</v>
      </c>
    </row>
    <row r="12" spans="1:5" ht="24" thickBot="1">
      <c r="A12" s="4" t="s">
        <v>53</v>
      </c>
      <c r="B12" s="373">
        <f>SUM(B5:B11)</f>
        <v>2924772.31</v>
      </c>
      <c r="C12" s="373">
        <f>SUM(C5:C11)</f>
        <v>22305.87</v>
      </c>
      <c r="D12" s="373">
        <f>SUM(D5:D11)</f>
        <v>41000.17</v>
      </c>
      <c r="E12" s="373">
        <f>SUM(E5:E11)</f>
        <v>2906078.0100000002</v>
      </c>
    </row>
    <row r="13" spans="2:5" ht="26.25" thickTop="1">
      <c r="B13" s="456"/>
      <c r="C13" s="457"/>
      <c r="D13" s="8"/>
      <c r="E13" s="8"/>
    </row>
    <row r="14" spans="2:5" ht="25.5">
      <c r="B14" s="456"/>
      <c r="C14" s="457"/>
      <c r="D14" s="8"/>
      <c r="E14" s="8"/>
    </row>
    <row r="15" spans="2:5" ht="25.5">
      <c r="B15" s="456"/>
      <c r="C15" s="457"/>
      <c r="D15" s="8"/>
      <c r="E15" s="8"/>
    </row>
    <row r="16" spans="2:3" ht="23.25">
      <c r="B16" s="2"/>
      <c r="C16" s="9"/>
    </row>
    <row r="17" spans="2:3" ht="23.25">
      <c r="B17" s="2"/>
      <c r="C17" s="9"/>
    </row>
    <row r="18" spans="2:3" ht="23.25">
      <c r="B18" s="2"/>
      <c r="C18" s="9"/>
    </row>
    <row r="19" spans="2:3" ht="23.25">
      <c r="B19" s="57"/>
      <c r="C19" s="9"/>
    </row>
    <row r="20" spans="2:3" ht="23.25">
      <c r="B20" s="57"/>
      <c r="C20" s="9"/>
    </row>
    <row r="21" spans="2:3" ht="23.25">
      <c r="B21" s="57"/>
      <c r="C21" s="9"/>
    </row>
    <row r="22" spans="1:3" ht="23.25">
      <c r="A22" s="458"/>
      <c r="B22" s="459"/>
      <c r="C22" s="458"/>
    </row>
    <row r="23" spans="1:3" ht="23.25">
      <c r="A23" s="458"/>
      <c r="B23" s="459"/>
      <c r="C23" s="458"/>
    </row>
    <row r="24" spans="1:3" ht="23.25">
      <c r="A24" s="4"/>
      <c r="B24" s="57"/>
      <c r="C24" s="4"/>
    </row>
    <row r="25" spans="2:3" ht="23.25">
      <c r="B25" s="57"/>
      <c r="C25" s="9"/>
    </row>
    <row r="26" spans="1:3" ht="23.25">
      <c r="A26" s="29"/>
      <c r="B26" s="57"/>
      <c r="C26" s="29"/>
    </row>
    <row r="27" spans="1:4" ht="23.25">
      <c r="A27" s="4"/>
      <c r="B27" s="57"/>
      <c r="C27" s="4"/>
      <c r="D27" s="8"/>
    </row>
    <row r="28" spans="2:4" ht="23.25">
      <c r="B28" s="57"/>
      <c r="C28" s="8"/>
      <c r="D28" s="8"/>
    </row>
    <row r="29" spans="1:4" ht="23.25">
      <c r="A29" s="29"/>
      <c r="B29" s="57"/>
      <c r="C29" s="29"/>
      <c r="D29" s="4"/>
    </row>
    <row r="30" spans="1:4" ht="23.25">
      <c r="A30" s="29"/>
      <c r="B30" s="57"/>
      <c r="C30" s="29"/>
      <c r="D30" s="4"/>
    </row>
    <row r="31" ht="23.25">
      <c r="B31" s="57"/>
    </row>
  </sheetData>
  <mergeCells count="2">
    <mergeCell ref="A1:E1"/>
    <mergeCell ref="A2:E2"/>
  </mergeCells>
  <printOptions/>
  <pageMargins left="0.5" right="0.15" top="0.45" bottom="0.38" header="0.27" footer="0.3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D10" sqref="D10"/>
    </sheetView>
  </sheetViews>
  <sheetFormatPr defaultColWidth="9.140625" defaultRowHeight="21.75"/>
  <cols>
    <col min="1" max="1" width="5.421875" style="250" customWidth="1"/>
    <col min="2" max="2" width="43.28125" style="250" customWidth="1"/>
    <col min="3" max="4" width="16.7109375" style="250" customWidth="1"/>
    <col min="5" max="5" width="19.00390625" style="250" customWidth="1"/>
    <col min="6" max="6" width="9.140625" style="250" customWidth="1"/>
    <col min="7" max="7" width="13.8515625" style="250" bestFit="1" customWidth="1"/>
    <col min="8" max="16384" width="9.140625" style="250" customWidth="1"/>
  </cols>
  <sheetData>
    <row r="1" spans="1:5" ht="18">
      <c r="A1" s="629" t="s">
        <v>804</v>
      </c>
      <c r="B1" s="629"/>
      <c r="C1" s="629"/>
      <c r="D1" s="629"/>
      <c r="E1" s="629"/>
    </row>
    <row r="2" spans="1:5" ht="18">
      <c r="A2" s="629" t="s">
        <v>779</v>
      </c>
      <c r="B2" s="629"/>
      <c r="C2" s="629"/>
      <c r="D2" s="629"/>
      <c r="E2" s="629"/>
    </row>
    <row r="3" spans="1:5" ht="18">
      <c r="A3" s="629" t="s">
        <v>780</v>
      </c>
      <c r="B3" s="629"/>
      <c r="C3" s="629"/>
      <c r="D3" s="629"/>
      <c r="E3" s="629"/>
    </row>
    <row r="4" spans="1:5" s="252" customFormat="1" ht="18">
      <c r="A4" s="630" t="s">
        <v>4</v>
      </c>
      <c r="B4" s="631"/>
      <c r="C4" s="631" t="s">
        <v>2</v>
      </c>
      <c r="D4" s="631" t="s">
        <v>61</v>
      </c>
      <c r="E4" s="266" t="s">
        <v>68</v>
      </c>
    </row>
    <row r="5" spans="1:5" s="252" customFormat="1" ht="18">
      <c r="A5" s="632"/>
      <c r="B5" s="633"/>
      <c r="C5" s="633"/>
      <c r="D5" s="633"/>
      <c r="E5" s="267" t="s">
        <v>69</v>
      </c>
    </row>
    <row r="6" spans="1:5" ht="18">
      <c r="A6" s="268" t="s">
        <v>62</v>
      </c>
      <c r="B6" s="269"/>
      <c r="C6" s="269"/>
      <c r="D6" s="270"/>
      <c r="E6" s="270"/>
    </row>
    <row r="7" spans="1:5" ht="18">
      <c r="A7" s="263" t="s">
        <v>63</v>
      </c>
      <c r="B7" s="271"/>
      <c r="C7" s="272"/>
      <c r="D7" s="273"/>
      <c r="E7" s="273"/>
    </row>
    <row r="8" spans="1:5" ht="18">
      <c r="A8" s="263"/>
      <c r="B8" s="271" t="s">
        <v>9</v>
      </c>
      <c r="C8" s="274">
        <v>1208000</v>
      </c>
      <c r="D8" s="274">
        <v>1613752.76</v>
      </c>
      <c r="E8" s="275">
        <f>D8-C8</f>
        <v>405752.76</v>
      </c>
    </row>
    <row r="9" spans="1:5" ht="18">
      <c r="A9" s="263"/>
      <c r="B9" s="271" t="s">
        <v>64</v>
      </c>
      <c r="C9" s="274">
        <v>923400</v>
      </c>
      <c r="D9" s="274">
        <v>1127441.9</v>
      </c>
      <c r="E9" s="275">
        <f aca="true" t="shared" si="0" ref="E9:E14">D9-C9</f>
        <v>204041.8999999999</v>
      </c>
    </row>
    <row r="10" spans="1:5" ht="18">
      <c r="A10" s="263"/>
      <c r="B10" s="271" t="s">
        <v>11</v>
      </c>
      <c r="C10" s="274">
        <v>185000</v>
      </c>
      <c r="D10" s="274">
        <v>550324.18</v>
      </c>
      <c r="E10" s="275">
        <f t="shared" si="0"/>
        <v>365324.18000000005</v>
      </c>
    </row>
    <row r="11" spans="1:5" ht="18">
      <c r="A11" s="263"/>
      <c r="B11" s="271" t="s">
        <v>13</v>
      </c>
      <c r="C11" s="274">
        <v>141000</v>
      </c>
      <c r="D11" s="274">
        <v>454112.55</v>
      </c>
      <c r="E11" s="275">
        <f t="shared" si="0"/>
        <v>313112.55</v>
      </c>
    </row>
    <row r="12" spans="1:7" ht="18">
      <c r="A12" s="263"/>
      <c r="B12" s="271" t="s">
        <v>15</v>
      </c>
      <c r="C12" s="276">
        <v>24545000</v>
      </c>
      <c r="D12" s="274">
        <v>34097753.17</v>
      </c>
      <c r="E12" s="275">
        <f t="shared" si="0"/>
        <v>9552753.170000002</v>
      </c>
      <c r="G12" s="255"/>
    </row>
    <row r="13" spans="1:5" ht="18">
      <c r="A13" s="263"/>
      <c r="B13" s="271" t="s">
        <v>16</v>
      </c>
      <c r="C13" s="274">
        <v>12000000</v>
      </c>
      <c r="D13" s="274">
        <v>24907010</v>
      </c>
      <c r="E13" s="275">
        <f t="shared" si="0"/>
        <v>12907010</v>
      </c>
    </row>
    <row r="14" spans="1:7" ht="18">
      <c r="A14" s="627" t="s">
        <v>65</v>
      </c>
      <c r="B14" s="628"/>
      <c r="C14" s="285">
        <f>SUM(C8:C13)</f>
        <v>39002400</v>
      </c>
      <c r="D14" s="285">
        <f>SUM(D8:D13)</f>
        <v>62750394.56</v>
      </c>
      <c r="E14" s="277">
        <f t="shared" si="0"/>
        <v>23747994.560000002</v>
      </c>
      <c r="G14" s="255"/>
    </row>
    <row r="15" spans="1:7" ht="18">
      <c r="A15" s="263"/>
      <c r="B15" s="279" t="s">
        <v>619</v>
      </c>
      <c r="C15" s="265"/>
      <c r="D15" s="278">
        <v>500566</v>
      </c>
      <c r="E15" s="280"/>
      <c r="G15" s="255"/>
    </row>
    <row r="16" spans="1:5" ht="18">
      <c r="A16" s="263"/>
      <c r="B16" s="263" t="s">
        <v>648</v>
      </c>
      <c r="D16" s="278">
        <v>17712700</v>
      </c>
      <c r="E16" s="258"/>
    </row>
    <row r="17" spans="1:7" ht="18">
      <c r="A17" s="263" t="s">
        <v>66</v>
      </c>
      <c r="B17" s="263"/>
      <c r="D17" s="278">
        <f>D16+D15</f>
        <v>18213266</v>
      </c>
      <c r="E17" s="258"/>
      <c r="G17" s="255"/>
    </row>
    <row r="18" spans="1:7" ht="18.75" thickBot="1">
      <c r="A18" s="263"/>
      <c r="B18" s="260" t="s">
        <v>67</v>
      </c>
      <c r="D18" s="259">
        <f>D14+D17</f>
        <v>80963660.56</v>
      </c>
      <c r="E18" s="258"/>
      <c r="G18" s="255"/>
    </row>
    <row r="19" spans="1:2" ht="18.75" thickTop="1">
      <c r="A19" s="263"/>
      <c r="B19" s="263"/>
    </row>
    <row r="20" spans="1:5" ht="18">
      <c r="A20" s="630" t="s">
        <v>4</v>
      </c>
      <c r="B20" s="631"/>
      <c r="C20" s="631" t="s">
        <v>2</v>
      </c>
      <c r="D20" s="631" t="s">
        <v>72</v>
      </c>
      <c r="E20" s="266" t="s">
        <v>68</v>
      </c>
    </row>
    <row r="21" spans="1:5" ht="18">
      <c r="A21" s="632"/>
      <c r="B21" s="633"/>
      <c r="C21" s="633"/>
      <c r="D21" s="633"/>
      <c r="E21" s="267" t="s">
        <v>69</v>
      </c>
    </row>
    <row r="22" spans="1:5" ht="18">
      <c r="A22" s="281" t="s">
        <v>70</v>
      </c>
      <c r="B22" s="282"/>
      <c r="C22" s="269"/>
      <c r="D22" s="269"/>
      <c r="E22" s="269"/>
    </row>
    <row r="23" spans="1:7" ht="18">
      <c r="A23" s="263"/>
      <c r="B23" s="271" t="s">
        <v>28</v>
      </c>
      <c r="C23" s="273">
        <v>4883414</v>
      </c>
      <c r="D23" s="273">
        <v>3547283.25</v>
      </c>
      <c r="E23" s="275">
        <f>D23-C23</f>
        <v>-1336130.75</v>
      </c>
      <c r="G23" s="265"/>
    </row>
    <row r="24" spans="1:7" ht="18">
      <c r="A24" s="263"/>
      <c r="B24" s="271" t="s">
        <v>56</v>
      </c>
      <c r="C24" s="273">
        <v>5978770</v>
      </c>
      <c r="D24" s="273">
        <v>5774533.39</v>
      </c>
      <c r="E24" s="275">
        <f aca="true" t="shared" si="1" ref="E24:E30">D24-C24</f>
        <v>-204236.61000000034</v>
      </c>
      <c r="G24" s="265"/>
    </row>
    <row r="25" spans="1:7" ht="18">
      <c r="A25" s="263"/>
      <c r="B25" s="271" t="s">
        <v>55</v>
      </c>
      <c r="C25" s="273">
        <v>3435060</v>
      </c>
      <c r="D25" s="273">
        <v>3380229.31</v>
      </c>
      <c r="E25" s="275">
        <f t="shared" si="1"/>
        <v>-54830.689999999944</v>
      </c>
      <c r="G25" s="265"/>
    </row>
    <row r="26" spans="1:7" ht="18">
      <c r="A26" s="263"/>
      <c r="B26" s="271" t="s">
        <v>30</v>
      </c>
      <c r="C26" s="273">
        <v>5320710</v>
      </c>
      <c r="D26" s="273">
        <v>4747538.75</v>
      </c>
      <c r="E26" s="275">
        <f t="shared" si="1"/>
        <v>-573171.25</v>
      </c>
      <c r="G26" s="265"/>
    </row>
    <row r="27" spans="1:7" ht="18">
      <c r="A27" s="263"/>
      <c r="B27" s="271" t="s">
        <v>31</v>
      </c>
      <c r="C27" s="273">
        <v>9681950</v>
      </c>
      <c r="D27" s="283">
        <v>8471691.33</v>
      </c>
      <c r="E27" s="275">
        <f t="shared" si="1"/>
        <v>-1210258.67</v>
      </c>
      <c r="G27" s="265"/>
    </row>
    <row r="28" spans="1:7" ht="18">
      <c r="A28" s="263"/>
      <c r="B28" s="271" t="s">
        <v>32</v>
      </c>
      <c r="C28" s="273">
        <v>4263673</v>
      </c>
      <c r="D28" s="283">
        <v>3802666.84</v>
      </c>
      <c r="E28" s="275">
        <f t="shared" si="1"/>
        <v>-461006.16000000015</v>
      </c>
      <c r="G28" s="265"/>
    </row>
    <row r="29" spans="1:7" ht="18">
      <c r="A29" s="263"/>
      <c r="B29" s="271" t="s">
        <v>33</v>
      </c>
      <c r="C29" s="273">
        <v>466000</v>
      </c>
      <c r="D29" s="283">
        <v>310177.67</v>
      </c>
      <c r="E29" s="275">
        <f t="shared" si="1"/>
        <v>-155822.33000000002</v>
      </c>
      <c r="G29" s="265"/>
    </row>
    <row r="30" spans="1:7" ht="18">
      <c r="A30" s="263"/>
      <c r="B30" s="271" t="s">
        <v>16</v>
      </c>
      <c r="C30" s="273">
        <v>2421123</v>
      </c>
      <c r="D30" s="273">
        <v>2066890.44</v>
      </c>
      <c r="E30" s="275">
        <f t="shared" si="1"/>
        <v>-354232.56000000006</v>
      </c>
      <c r="G30" s="265"/>
    </row>
    <row r="31" spans="1:7" ht="18">
      <c r="A31" s="263"/>
      <c r="B31" s="271" t="s">
        <v>34</v>
      </c>
      <c r="C31" s="273">
        <v>171500</v>
      </c>
      <c r="D31" s="273">
        <v>169200</v>
      </c>
      <c r="E31" s="275">
        <f>D31-C31</f>
        <v>-2300</v>
      </c>
      <c r="G31" s="284"/>
    </row>
    <row r="32" spans="1:7" ht="18">
      <c r="A32" s="263"/>
      <c r="B32" s="271" t="s">
        <v>35</v>
      </c>
      <c r="C32" s="273">
        <v>2380200</v>
      </c>
      <c r="D32" s="273">
        <v>2380200</v>
      </c>
      <c r="E32" s="275">
        <f>D32-C32</f>
        <v>0</v>
      </c>
      <c r="G32" s="284"/>
    </row>
    <row r="33" spans="1:7" ht="18">
      <c r="A33" s="634" t="s">
        <v>71</v>
      </c>
      <c r="B33" s="635"/>
      <c r="C33" s="285">
        <f>SUM(C23:C32)</f>
        <v>39002400</v>
      </c>
      <c r="D33" s="344">
        <f>SUM(D23:D32)</f>
        <v>34650410.980000004</v>
      </c>
      <c r="E33" s="277">
        <f>D33-C33</f>
        <v>-4351989.019999996</v>
      </c>
      <c r="G33" s="255"/>
    </row>
    <row r="34" spans="1:7" ht="18">
      <c r="A34" s="260"/>
      <c r="B34" s="279" t="s">
        <v>649</v>
      </c>
      <c r="C34" s="265"/>
      <c r="D34" s="291">
        <v>500566</v>
      </c>
      <c r="E34" s="280"/>
      <c r="G34" s="255"/>
    </row>
    <row r="35" spans="2:7" ht="18">
      <c r="B35" s="287" t="s">
        <v>650</v>
      </c>
      <c r="C35" s="265"/>
      <c r="D35" s="270">
        <v>17712700</v>
      </c>
      <c r="E35" s="280"/>
      <c r="G35" s="255"/>
    </row>
    <row r="36" spans="1:7" ht="18">
      <c r="A36" s="288" t="s">
        <v>325</v>
      </c>
      <c r="B36" s="261"/>
      <c r="C36" s="258"/>
      <c r="D36" s="286">
        <f>D35+D34</f>
        <v>18213266</v>
      </c>
      <c r="E36" s="258"/>
      <c r="G36" s="255"/>
    </row>
    <row r="37" spans="1:7" ht="18">
      <c r="A37" s="287"/>
      <c r="B37" s="260" t="s">
        <v>76</v>
      </c>
      <c r="C37" s="258"/>
      <c r="D37" s="286">
        <f>D33+D36</f>
        <v>52863676.980000004</v>
      </c>
      <c r="E37" s="258"/>
      <c r="G37" s="255"/>
    </row>
    <row r="38" spans="2:5" ht="18">
      <c r="B38" s="249" t="s">
        <v>620</v>
      </c>
      <c r="C38" s="258"/>
      <c r="D38" s="286">
        <f>D18-D37</f>
        <v>28099983.58</v>
      </c>
      <c r="E38" s="258"/>
    </row>
    <row r="39" spans="2:5" ht="18">
      <c r="B39" s="252"/>
      <c r="C39" s="258"/>
      <c r="D39" s="265"/>
      <c r="E39" s="258"/>
    </row>
    <row r="40" spans="2:5" ht="18">
      <c r="B40" s="252"/>
      <c r="C40" s="258"/>
      <c r="D40" s="265"/>
      <c r="E40" s="258"/>
    </row>
    <row r="41" spans="2:5" ht="18">
      <c r="B41" s="252"/>
      <c r="C41" s="258"/>
      <c r="D41" s="265"/>
      <c r="E41" s="258"/>
    </row>
    <row r="42" spans="2:5" ht="18">
      <c r="B42" s="252"/>
      <c r="C42" s="258"/>
      <c r="D42" s="265"/>
      <c r="E42" s="258"/>
    </row>
    <row r="43" spans="2:5" ht="18">
      <c r="B43" s="252"/>
      <c r="C43" s="258"/>
      <c r="D43" s="265"/>
      <c r="E43" s="258"/>
    </row>
    <row r="44" spans="2:5" ht="23.25" customHeight="1">
      <c r="B44" s="252"/>
      <c r="C44" s="258"/>
      <c r="D44" s="265"/>
      <c r="E44" s="258"/>
    </row>
    <row r="45" spans="1:5" ht="18">
      <c r="A45" s="289"/>
      <c r="B45" s="289"/>
      <c r="C45" s="289"/>
      <c r="D45" s="289"/>
      <c r="E45" s="289"/>
    </row>
    <row r="46" spans="1:5" ht="18">
      <c r="A46" s="289"/>
      <c r="B46" s="289"/>
      <c r="C46" s="289"/>
      <c r="D46" s="289"/>
      <c r="E46" s="289"/>
    </row>
    <row r="47" spans="1:5" ht="18">
      <c r="A47" s="290"/>
      <c r="B47" s="290"/>
      <c r="C47" s="290"/>
      <c r="D47" s="290"/>
      <c r="E47" s="290"/>
    </row>
    <row r="48" spans="6:7" ht="18">
      <c r="F48" s="290"/>
      <c r="G48" s="290"/>
    </row>
    <row r="49" spans="1:7" ht="23.25" customHeight="1" hidden="1">
      <c r="A49" s="252"/>
      <c r="B49" s="252"/>
      <c r="C49" s="252"/>
      <c r="D49" s="252"/>
      <c r="E49" s="252"/>
      <c r="F49" s="290"/>
      <c r="G49" s="290"/>
    </row>
    <row r="50" spans="1:7" ht="0.75" customHeight="1" hidden="1">
      <c r="A50" s="252"/>
      <c r="B50" s="252"/>
      <c r="C50" s="252"/>
      <c r="D50" s="252"/>
      <c r="E50" s="252"/>
      <c r="F50" s="290"/>
      <c r="G50" s="290"/>
    </row>
    <row r="51" spans="1:7" ht="18">
      <c r="A51" s="290"/>
      <c r="B51" s="290"/>
      <c r="C51" s="290"/>
      <c r="D51" s="290"/>
      <c r="E51" s="290"/>
      <c r="F51" s="287"/>
      <c r="G51" s="287"/>
    </row>
    <row r="52" spans="1:7" ht="18">
      <c r="A52" s="290"/>
      <c r="B52" s="290"/>
      <c r="C52" s="290"/>
      <c r="D52" s="290"/>
      <c r="E52" s="290"/>
      <c r="F52" s="290"/>
      <c r="G52" s="290"/>
    </row>
    <row r="53" spans="1:7" ht="18">
      <c r="A53" s="290"/>
      <c r="B53" s="290"/>
      <c r="C53" s="290"/>
      <c r="D53" s="290"/>
      <c r="E53" s="290"/>
      <c r="F53" s="290"/>
      <c r="G53" s="290"/>
    </row>
    <row r="54" spans="3:7" ht="18">
      <c r="C54" s="258"/>
      <c r="D54" s="258"/>
      <c r="E54" s="290"/>
      <c r="F54" s="290"/>
      <c r="G54" s="290"/>
    </row>
    <row r="55" spans="1:7" ht="23.25" customHeight="1">
      <c r="A55" s="290"/>
      <c r="B55" s="290"/>
      <c r="C55" s="290"/>
      <c r="D55" s="290"/>
      <c r="E55" s="252"/>
      <c r="F55" s="290"/>
      <c r="G55" s="290"/>
    </row>
    <row r="56" spans="1:7" ht="18">
      <c r="A56" s="290"/>
      <c r="B56" s="290"/>
      <c r="C56" s="290"/>
      <c r="D56" s="290"/>
      <c r="E56" s="290"/>
      <c r="F56" s="252"/>
      <c r="G56" s="252"/>
    </row>
    <row r="57" spans="1:7" ht="18">
      <c r="A57" s="290"/>
      <c r="B57" s="290"/>
      <c r="C57" s="290"/>
      <c r="D57" s="290"/>
      <c r="E57" s="290"/>
      <c r="F57" s="290"/>
      <c r="G57" s="290"/>
    </row>
    <row r="58" spans="1:7" ht="18">
      <c r="A58" s="290"/>
      <c r="B58" s="290"/>
      <c r="C58" s="290"/>
      <c r="D58" s="290"/>
      <c r="E58" s="290"/>
      <c r="F58" s="290"/>
      <c r="G58" s="290"/>
    </row>
    <row r="59" spans="3:7" ht="18">
      <c r="C59" s="258"/>
      <c r="D59" s="258"/>
      <c r="E59" s="252"/>
      <c r="F59" s="252"/>
      <c r="G59" s="252"/>
    </row>
    <row r="60" spans="3:7" ht="18">
      <c r="C60" s="258"/>
      <c r="D60" s="258"/>
      <c r="E60" s="290"/>
      <c r="F60" s="290"/>
      <c r="G60" s="290"/>
    </row>
    <row r="61" spans="1:7" ht="18">
      <c r="A61" s="290"/>
      <c r="B61" s="290"/>
      <c r="C61" s="290"/>
      <c r="D61" s="290"/>
      <c r="E61" s="290"/>
      <c r="F61" s="290"/>
      <c r="G61" s="290"/>
    </row>
    <row r="62" spans="1:7" ht="18">
      <c r="A62" s="290"/>
      <c r="B62" s="290"/>
      <c r="C62" s="290"/>
      <c r="D62" s="290"/>
      <c r="E62" s="290"/>
      <c r="F62" s="290"/>
      <c r="G62" s="290"/>
    </row>
    <row r="63" spans="1:7" ht="18">
      <c r="A63" s="290"/>
      <c r="B63" s="290"/>
      <c r="C63" s="290"/>
      <c r="D63" s="290"/>
      <c r="E63" s="290"/>
      <c r="F63" s="290"/>
      <c r="G63" s="290"/>
    </row>
    <row r="64" spans="1:7" ht="18">
      <c r="A64" s="290"/>
      <c r="B64" s="290"/>
      <c r="C64" s="290"/>
      <c r="D64" s="290"/>
      <c r="E64" s="290"/>
      <c r="F64" s="290"/>
      <c r="G64" s="290"/>
    </row>
    <row r="65" spans="1:7" ht="18">
      <c r="A65" s="290"/>
      <c r="B65" s="290"/>
      <c r="C65" s="290"/>
      <c r="D65" s="290"/>
      <c r="E65" s="290"/>
      <c r="F65" s="290"/>
      <c r="G65" s="290"/>
    </row>
  </sheetData>
  <mergeCells count="11">
    <mergeCell ref="A33:B33"/>
    <mergeCell ref="A20:B21"/>
    <mergeCell ref="C20:C21"/>
    <mergeCell ref="D20:D21"/>
    <mergeCell ref="A14:B14"/>
    <mergeCell ref="A1:E1"/>
    <mergeCell ref="A2:E2"/>
    <mergeCell ref="A3:E3"/>
    <mergeCell ref="A4:B5"/>
    <mergeCell ref="C4:C5"/>
    <mergeCell ref="D4:D5"/>
  </mergeCells>
  <printOptions/>
  <pageMargins left="0.45" right="0.48" top="0.29" bottom="0.26" header="0.19" footer="0.21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:IV16384"/>
    </sheetView>
  </sheetViews>
  <sheetFormatPr defaultColWidth="9.140625" defaultRowHeight="21.75"/>
  <cols>
    <col min="1" max="1" width="5.421875" style="1" customWidth="1"/>
    <col min="2" max="2" width="47.00390625" style="1" customWidth="1"/>
    <col min="3" max="3" width="6.28125" style="1" customWidth="1"/>
    <col min="4" max="4" width="16.421875" style="1" customWidth="1"/>
    <col min="5" max="6" width="15.421875" style="1" customWidth="1"/>
    <col min="7" max="7" width="9.140625" style="1" customWidth="1"/>
    <col min="8" max="9" width="13.8515625" style="1" bestFit="1" customWidth="1"/>
    <col min="10" max="10" width="12.7109375" style="1" bestFit="1" customWidth="1"/>
    <col min="11" max="16384" width="9.140625" style="1" customWidth="1"/>
  </cols>
  <sheetData>
    <row r="1" spans="1:6" ht="23.25">
      <c r="A1" s="585" t="s">
        <v>804</v>
      </c>
      <c r="B1" s="585"/>
      <c r="C1" s="585"/>
      <c r="D1" s="585"/>
      <c r="E1" s="585"/>
      <c r="F1" s="585"/>
    </row>
    <row r="2" spans="1:6" ht="23.25">
      <c r="A2" s="585" t="s">
        <v>704</v>
      </c>
      <c r="B2" s="585"/>
      <c r="C2" s="585"/>
      <c r="D2" s="585"/>
      <c r="E2" s="585"/>
      <c r="F2" s="585"/>
    </row>
    <row r="3" spans="1:6" ht="23.25">
      <c r="A3" s="585" t="s">
        <v>705</v>
      </c>
      <c r="B3" s="585"/>
      <c r="C3" s="585"/>
      <c r="D3" s="585"/>
      <c r="E3" s="585"/>
      <c r="F3" s="585"/>
    </row>
    <row r="4" spans="1:6" s="4" customFormat="1" ht="23.25">
      <c r="A4" s="636" t="s">
        <v>4</v>
      </c>
      <c r="B4" s="637"/>
      <c r="C4" s="353" t="s">
        <v>5</v>
      </c>
      <c r="D4" s="637" t="s">
        <v>2</v>
      </c>
      <c r="E4" s="637" t="s">
        <v>61</v>
      </c>
      <c r="F4" s="354" t="s">
        <v>68</v>
      </c>
    </row>
    <row r="5" spans="1:6" s="4" customFormat="1" ht="23.25">
      <c r="A5" s="638"/>
      <c r="B5" s="639"/>
      <c r="C5" s="355" t="s">
        <v>6</v>
      </c>
      <c r="D5" s="639"/>
      <c r="E5" s="639"/>
      <c r="F5" s="356" t="s">
        <v>69</v>
      </c>
    </row>
    <row r="6" spans="1:6" ht="23.25">
      <c r="A6" s="18" t="s">
        <v>127</v>
      </c>
      <c r="B6" s="357"/>
      <c r="C6" s="358"/>
      <c r="D6" s="359"/>
      <c r="E6" s="10"/>
      <c r="F6" s="10"/>
    </row>
    <row r="7" spans="1:6" ht="23.25">
      <c r="A7" s="11" t="s">
        <v>128</v>
      </c>
      <c r="B7" s="357"/>
      <c r="C7" s="360"/>
      <c r="D7" s="359"/>
      <c r="E7" s="10"/>
      <c r="F7" s="10"/>
    </row>
    <row r="8" spans="1:6" ht="23.25">
      <c r="A8" s="17" t="s">
        <v>139</v>
      </c>
      <c r="B8" s="357" t="s">
        <v>129</v>
      </c>
      <c r="C8" s="360" t="s">
        <v>171</v>
      </c>
      <c r="D8" s="10">
        <v>1000000</v>
      </c>
      <c r="E8" s="10">
        <v>1331560.14</v>
      </c>
      <c r="F8" s="361">
        <f aca="true" t="shared" si="0" ref="F8:F67">E8-D8</f>
        <v>331560.1399999999</v>
      </c>
    </row>
    <row r="9" spans="1:6" ht="23.25">
      <c r="A9" s="17" t="s">
        <v>140</v>
      </c>
      <c r="B9" s="357" t="s">
        <v>130</v>
      </c>
      <c r="C9" s="360" t="s">
        <v>172</v>
      </c>
      <c r="D9" s="10">
        <v>8000</v>
      </c>
      <c r="E9" s="10">
        <v>7324.02</v>
      </c>
      <c r="F9" s="361">
        <f t="shared" si="0"/>
        <v>-675.9799999999996</v>
      </c>
    </row>
    <row r="10" spans="1:6" ht="23.25">
      <c r="A10" s="17" t="s">
        <v>141</v>
      </c>
      <c r="B10" s="357" t="s">
        <v>131</v>
      </c>
      <c r="C10" s="360" t="s">
        <v>173</v>
      </c>
      <c r="D10" s="10">
        <v>200000</v>
      </c>
      <c r="E10" s="10">
        <v>274868.6</v>
      </c>
      <c r="F10" s="361">
        <f t="shared" si="0"/>
        <v>74868.59999999998</v>
      </c>
    </row>
    <row r="11" spans="1:6" ht="23.25">
      <c r="A11" s="362"/>
      <c r="B11" s="363" t="s">
        <v>53</v>
      </c>
      <c r="C11" s="360"/>
      <c r="D11" s="364">
        <f>SUM(D8:D10)</f>
        <v>1208000</v>
      </c>
      <c r="E11" s="364">
        <f>SUM(E8:E10)</f>
        <v>1613752.7599999998</v>
      </c>
      <c r="F11" s="365">
        <f t="shared" si="0"/>
        <v>405752.7599999998</v>
      </c>
    </row>
    <row r="12" spans="1:6" ht="23.25">
      <c r="A12" s="11" t="s">
        <v>132</v>
      </c>
      <c r="B12" s="357"/>
      <c r="C12" s="360"/>
      <c r="D12" s="10"/>
      <c r="E12" s="10"/>
      <c r="F12" s="361"/>
    </row>
    <row r="13" spans="1:6" ht="23.25">
      <c r="A13" s="17" t="s">
        <v>139</v>
      </c>
      <c r="B13" s="357" t="s">
        <v>133</v>
      </c>
      <c r="C13" s="360" t="s">
        <v>327</v>
      </c>
      <c r="D13" s="10">
        <v>500</v>
      </c>
      <c r="E13" s="10">
        <v>0</v>
      </c>
      <c r="F13" s="361">
        <f t="shared" si="0"/>
        <v>-500</v>
      </c>
    </row>
    <row r="14" spans="1:6" ht="23.25">
      <c r="A14" s="17" t="s">
        <v>140</v>
      </c>
      <c r="B14" s="357" t="s">
        <v>134</v>
      </c>
      <c r="C14" s="360" t="s">
        <v>174</v>
      </c>
      <c r="D14" s="10">
        <v>100</v>
      </c>
      <c r="E14" s="10">
        <v>19</v>
      </c>
      <c r="F14" s="361">
        <f t="shared" si="0"/>
        <v>-81</v>
      </c>
    </row>
    <row r="15" spans="1:6" ht="23.25">
      <c r="A15" s="17" t="s">
        <v>141</v>
      </c>
      <c r="B15" s="357" t="s">
        <v>135</v>
      </c>
      <c r="C15" s="360" t="s">
        <v>175</v>
      </c>
      <c r="D15" s="10">
        <v>20000</v>
      </c>
      <c r="E15" s="10">
        <v>26862.9</v>
      </c>
      <c r="F15" s="361">
        <f t="shared" si="0"/>
        <v>6862.9000000000015</v>
      </c>
    </row>
    <row r="16" spans="1:6" ht="23.25">
      <c r="A16" s="17" t="s">
        <v>142</v>
      </c>
      <c r="B16" s="357" t="s">
        <v>200</v>
      </c>
      <c r="C16" s="360" t="s">
        <v>328</v>
      </c>
      <c r="D16" s="10">
        <v>850000</v>
      </c>
      <c r="E16" s="10">
        <v>1035100</v>
      </c>
      <c r="F16" s="361">
        <f t="shared" si="0"/>
        <v>185100</v>
      </c>
    </row>
    <row r="17" spans="1:6" ht="23.25">
      <c r="A17" s="17" t="s">
        <v>143</v>
      </c>
      <c r="B17" s="357" t="s">
        <v>201</v>
      </c>
      <c r="C17" s="360" t="s">
        <v>176</v>
      </c>
      <c r="D17" s="10">
        <v>12000</v>
      </c>
      <c r="E17" s="10">
        <v>12000</v>
      </c>
      <c r="F17" s="361">
        <f t="shared" si="0"/>
        <v>0</v>
      </c>
    </row>
    <row r="18" spans="1:6" ht="23.25">
      <c r="A18" s="17" t="s">
        <v>144</v>
      </c>
      <c r="B18" s="357" t="s">
        <v>706</v>
      </c>
      <c r="C18" s="360"/>
      <c r="D18" s="10">
        <v>1000</v>
      </c>
      <c r="E18" s="10">
        <v>1920</v>
      </c>
      <c r="F18" s="361">
        <f t="shared" si="0"/>
        <v>920</v>
      </c>
    </row>
    <row r="19" spans="1:6" ht="23.25">
      <c r="A19" s="17" t="s">
        <v>145</v>
      </c>
      <c r="B19" s="357" t="s">
        <v>149</v>
      </c>
      <c r="C19" s="360" t="s">
        <v>329</v>
      </c>
      <c r="D19" s="10">
        <v>1000</v>
      </c>
      <c r="E19" s="10">
        <v>0</v>
      </c>
      <c r="F19" s="361">
        <f t="shared" si="0"/>
        <v>-1000</v>
      </c>
    </row>
    <row r="20" spans="1:6" ht="23.25">
      <c r="A20" s="17" t="s">
        <v>146</v>
      </c>
      <c r="B20" s="357" t="s">
        <v>136</v>
      </c>
      <c r="C20" s="360" t="s">
        <v>330</v>
      </c>
      <c r="D20" s="10">
        <v>2000</v>
      </c>
      <c r="E20" s="10">
        <v>7900</v>
      </c>
      <c r="F20" s="361">
        <f t="shared" si="0"/>
        <v>5900</v>
      </c>
    </row>
    <row r="21" spans="1:6" ht="23.25">
      <c r="A21" s="17" t="s">
        <v>147</v>
      </c>
      <c r="B21" s="357" t="s">
        <v>226</v>
      </c>
      <c r="C21" s="360" t="s">
        <v>331</v>
      </c>
      <c r="D21" s="10">
        <v>1000</v>
      </c>
      <c r="E21" s="10">
        <v>0</v>
      </c>
      <c r="F21" s="361">
        <f t="shared" si="0"/>
        <v>-1000</v>
      </c>
    </row>
    <row r="22" spans="1:6" ht="23.25">
      <c r="A22" s="17" t="s">
        <v>148</v>
      </c>
      <c r="B22" s="357" t="s">
        <v>138</v>
      </c>
      <c r="C22" s="360" t="s">
        <v>332</v>
      </c>
      <c r="D22" s="10">
        <v>2800</v>
      </c>
      <c r="E22" s="10">
        <v>4140</v>
      </c>
      <c r="F22" s="361">
        <f t="shared" si="0"/>
        <v>1340</v>
      </c>
    </row>
    <row r="23" spans="1:6" ht="23.25">
      <c r="A23" s="17" t="s">
        <v>202</v>
      </c>
      <c r="B23" s="357" t="s">
        <v>137</v>
      </c>
      <c r="C23" s="360" t="s">
        <v>333</v>
      </c>
      <c r="D23" s="10">
        <v>20000</v>
      </c>
      <c r="E23" s="10">
        <v>26100</v>
      </c>
      <c r="F23" s="361">
        <f t="shared" si="0"/>
        <v>6100</v>
      </c>
    </row>
    <row r="24" spans="1:6" ht="23.25">
      <c r="A24" s="17" t="s">
        <v>707</v>
      </c>
      <c r="B24" s="357" t="s">
        <v>283</v>
      </c>
      <c r="C24" s="360" t="s">
        <v>334</v>
      </c>
      <c r="D24" s="10">
        <v>13000</v>
      </c>
      <c r="E24" s="10">
        <v>12900</v>
      </c>
      <c r="F24" s="361">
        <f t="shared" si="0"/>
        <v>-100</v>
      </c>
    </row>
    <row r="25" spans="1:6" ht="23.25">
      <c r="A25" s="17" t="s">
        <v>708</v>
      </c>
      <c r="B25" s="357" t="s">
        <v>709</v>
      </c>
      <c r="C25" s="360"/>
      <c r="D25" s="10"/>
      <c r="E25" s="10">
        <v>500</v>
      </c>
      <c r="F25" s="361">
        <v>500</v>
      </c>
    </row>
    <row r="26" spans="1:6" ht="23.25">
      <c r="A26" s="17"/>
      <c r="B26" s="363" t="s">
        <v>53</v>
      </c>
      <c r="C26" s="360"/>
      <c r="D26" s="364">
        <f>SUM(D13:D24)</f>
        <v>923400</v>
      </c>
      <c r="E26" s="364">
        <f>SUM(E13:E25)</f>
        <v>1127441.9</v>
      </c>
      <c r="F26" s="365">
        <f t="shared" si="0"/>
        <v>204041.8999999999</v>
      </c>
    </row>
    <row r="27" spans="1:6" ht="23.25">
      <c r="A27" s="366" t="s">
        <v>150</v>
      </c>
      <c r="B27" s="357"/>
      <c r="C27" s="360"/>
      <c r="D27" s="10"/>
      <c r="E27" s="10"/>
      <c r="F27" s="361"/>
    </row>
    <row r="28" spans="1:6" ht="23.25">
      <c r="A28" s="17" t="s">
        <v>139</v>
      </c>
      <c r="B28" s="357" t="s">
        <v>151</v>
      </c>
      <c r="C28" s="360" t="s">
        <v>177</v>
      </c>
      <c r="D28" s="10">
        <v>185000</v>
      </c>
      <c r="E28" s="10">
        <v>550324.18</v>
      </c>
      <c r="F28" s="361">
        <f t="shared" si="0"/>
        <v>365324.18000000005</v>
      </c>
    </row>
    <row r="29" spans="1:6" ht="23.25">
      <c r="A29" s="17"/>
      <c r="B29" s="363" t="s">
        <v>53</v>
      </c>
      <c r="C29" s="360"/>
      <c r="D29" s="364">
        <f>SUM(D28:D28)</f>
        <v>185000</v>
      </c>
      <c r="E29" s="364">
        <f>SUM(E28:E28)</f>
        <v>550324.18</v>
      </c>
      <c r="F29" s="365">
        <f t="shared" si="0"/>
        <v>365324.18000000005</v>
      </c>
    </row>
    <row r="30" spans="1:6" ht="23.25">
      <c r="A30" s="366" t="s">
        <v>152</v>
      </c>
      <c r="B30" s="357"/>
      <c r="C30" s="360"/>
      <c r="D30" s="10"/>
      <c r="E30" s="10"/>
      <c r="F30" s="361"/>
    </row>
    <row r="31" spans="1:6" ht="23.25">
      <c r="A31" s="17" t="s">
        <v>139</v>
      </c>
      <c r="B31" s="357" t="s">
        <v>153</v>
      </c>
      <c r="C31" s="360" t="s">
        <v>178</v>
      </c>
      <c r="D31" s="10">
        <v>100000</v>
      </c>
      <c r="E31" s="10">
        <v>449900</v>
      </c>
      <c r="F31" s="361">
        <f t="shared" si="0"/>
        <v>349900</v>
      </c>
    </row>
    <row r="32" spans="1:6" ht="23.25">
      <c r="A32" s="17" t="s">
        <v>140</v>
      </c>
      <c r="B32" s="357" t="s">
        <v>154</v>
      </c>
      <c r="C32" s="360" t="s">
        <v>179</v>
      </c>
      <c r="D32" s="10">
        <v>1000</v>
      </c>
      <c r="E32" s="10">
        <v>160</v>
      </c>
      <c r="F32" s="361">
        <f t="shared" si="0"/>
        <v>-840</v>
      </c>
    </row>
    <row r="33" spans="1:6" ht="23.25">
      <c r="A33" s="17" t="s">
        <v>141</v>
      </c>
      <c r="B33" s="357" t="s">
        <v>155</v>
      </c>
      <c r="C33" s="360" t="s">
        <v>180</v>
      </c>
      <c r="D33" s="10">
        <v>40000</v>
      </c>
      <c r="E33" s="10">
        <v>4052.55</v>
      </c>
      <c r="F33" s="361">
        <f t="shared" si="0"/>
        <v>-35947.45</v>
      </c>
    </row>
    <row r="34" spans="1:6" ht="23.25">
      <c r="A34" s="17"/>
      <c r="B34" s="363" t="s">
        <v>53</v>
      </c>
      <c r="C34" s="360"/>
      <c r="D34" s="364">
        <f>SUM(D31:D33)</f>
        <v>141000</v>
      </c>
      <c r="E34" s="364">
        <f>SUM(E31:E33)</f>
        <v>454112.55</v>
      </c>
      <c r="F34" s="365">
        <f t="shared" si="0"/>
        <v>313112.55</v>
      </c>
    </row>
    <row r="35" spans="1:6" ht="23.25">
      <c r="A35" s="367" t="s">
        <v>156</v>
      </c>
      <c r="B35" s="357"/>
      <c r="C35" s="360"/>
      <c r="D35" s="10"/>
      <c r="E35" s="10"/>
      <c r="F35" s="361"/>
    </row>
    <row r="36" spans="1:6" ht="23.25">
      <c r="A36" s="357" t="s">
        <v>157</v>
      </c>
      <c r="B36" s="357"/>
      <c r="C36" s="375"/>
      <c r="D36" s="31"/>
      <c r="E36" s="31"/>
      <c r="F36" s="372"/>
    </row>
    <row r="37" spans="1:6" ht="23.25">
      <c r="A37" s="17" t="s">
        <v>139</v>
      </c>
      <c r="B37" s="357" t="s">
        <v>158</v>
      </c>
      <c r="C37" s="447" t="s">
        <v>181</v>
      </c>
      <c r="D37" s="371">
        <v>40000</v>
      </c>
      <c r="E37" s="371">
        <v>0</v>
      </c>
      <c r="F37" s="448">
        <f t="shared" si="0"/>
        <v>-40000</v>
      </c>
    </row>
    <row r="38" spans="1:6" ht="23.25">
      <c r="A38" s="17" t="s">
        <v>140</v>
      </c>
      <c r="B38" s="357" t="s">
        <v>279</v>
      </c>
      <c r="C38" s="368" t="s">
        <v>182</v>
      </c>
      <c r="D38" s="10">
        <v>5700000</v>
      </c>
      <c r="E38" s="10">
        <v>7010161.01</v>
      </c>
      <c r="F38" s="361">
        <f t="shared" si="0"/>
        <v>1310161.0099999998</v>
      </c>
    </row>
    <row r="39" spans="1:6" ht="23.25">
      <c r="A39" s="17" t="s">
        <v>141</v>
      </c>
      <c r="B39" s="357" t="s">
        <v>280</v>
      </c>
      <c r="C39" s="368" t="s">
        <v>281</v>
      </c>
      <c r="D39" s="10">
        <v>4500000</v>
      </c>
      <c r="E39" s="10">
        <v>6626659.23</v>
      </c>
      <c r="F39" s="361">
        <f t="shared" si="0"/>
        <v>2126659.2300000004</v>
      </c>
    </row>
    <row r="40" spans="1:6" ht="23.25">
      <c r="A40" s="17" t="s">
        <v>142</v>
      </c>
      <c r="B40" s="357" t="s">
        <v>159</v>
      </c>
      <c r="C40" s="360" t="s">
        <v>183</v>
      </c>
      <c r="D40" s="10">
        <v>130000</v>
      </c>
      <c r="E40" s="10">
        <v>318952.4</v>
      </c>
      <c r="F40" s="361">
        <f t="shared" si="0"/>
        <v>188952.40000000002</v>
      </c>
    </row>
    <row r="41" spans="1:6" ht="23.25">
      <c r="A41" s="17" t="s">
        <v>143</v>
      </c>
      <c r="B41" s="357" t="s">
        <v>160</v>
      </c>
      <c r="C41" s="360" t="s">
        <v>184</v>
      </c>
      <c r="D41" s="10">
        <v>2000000</v>
      </c>
      <c r="E41" s="10">
        <v>2939597.74</v>
      </c>
      <c r="F41" s="361">
        <f t="shared" si="0"/>
        <v>939597.7400000002</v>
      </c>
    </row>
    <row r="42" spans="1:6" ht="23.25">
      <c r="A42" s="17" t="s">
        <v>144</v>
      </c>
      <c r="B42" s="357" t="s">
        <v>161</v>
      </c>
      <c r="C42" s="360" t="s">
        <v>185</v>
      </c>
      <c r="D42" s="10">
        <v>5200000</v>
      </c>
      <c r="E42" s="10">
        <v>5286157.32</v>
      </c>
      <c r="F42" s="361">
        <f t="shared" si="0"/>
        <v>86157.3200000003</v>
      </c>
    </row>
    <row r="43" spans="1:6" ht="23.25">
      <c r="A43" s="17" t="s">
        <v>145</v>
      </c>
      <c r="B43" s="357" t="s">
        <v>162</v>
      </c>
      <c r="C43" s="360" t="s">
        <v>636</v>
      </c>
      <c r="D43" s="10">
        <v>2000</v>
      </c>
      <c r="E43" s="10">
        <v>0</v>
      </c>
      <c r="F43" s="361">
        <f t="shared" si="0"/>
        <v>-2000</v>
      </c>
    </row>
    <row r="44" spans="1:6" ht="23.25">
      <c r="A44" s="17" t="s">
        <v>146</v>
      </c>
      <c r="B44" s="357" t="s">
        <v>163</v>
      </c>
      <c r="C44" s="360" t="s">
        <v>710</v>
      </c>
      <c r="D44" s="10">
        <v>120000</v>
      </c>
      <c r="E44" s="10">
        <v>126469.82</v>
      </c>
      <c r="F44" s="361">
        <f t="shared" si="0"/>
        <v>6469.820000000007</v>
      </c>
    </row>
    <row r="45" spans="1:6" ht="23.25">
      <c r="A45" s="17" t="s">
        <v>147</v>
      </c>
      <c r="B45" s="357" t="s">
        <v>164</v>
      </c>
      <c r="C45" s="360" t="s">
        <v>711</v>
      </c>
      <c r="D45" s="10">
        <v>150000</v>
      </c>
      <c r="E45" s="10">
        <v>214702.65</v>
      </c>
      <c r="F45" s="361">
        <f t="shared" si="0"/>
        <v>64702.649999999994</v>
      </c>
    </row>
    <row r="46" spans="1:6" ht="23.25">
      <c r="A46" s="17" t="s">
        <v>148</v>
      </c>
      <c r="B46" s="357" t="s">
        <v>227</v>
      </c>
      <c r="C46" s="360" t="s">
        <v>186</v>
      </c>
      <c r="D46" s="10">
        <v>6700000</v>
      </c>
      <c r="E46" s="10">
        <v>11573029</v>
      </c>
      <c r="F46" s="361">
        <f t="shared" si="0"/>
        <v>4873029</v>
      </c>
    </row>
    <row r="47" spans="1:6" ht="23.25">
      <c r="A47" s="17" t="s">
        <v>202</v>
      </c>
      <c r="B47" s="357" t="s">
        <v>165</v>
      </c>
      <c r="C47" s="360" t="s">
        <v>187</v>
      </c>
      <c r="D47" s="10">
        <v>3000</v>
      </c>
      <c r="E47" s="10">
        <v>2024</v>
      </c>
      <c r="F47" s="361">
        <f t="shared" si="0"/>
        <v>-976</v>
      </c>
    </row>
    <row r="48" spans="1:6" ht="23.25">
      <c r="A48" s="17"/>
      <c r="B48" s="363" t="s">
        <v>53</v>
      </c>
      <c r="C48" s="360"/>
      <c r="D48" s="364">
        <f>SUM(D37:D47)</f>
        <v>24545000</v>
      </c>
      <c r="E48" s="364">
        <f>SUM(E37:E47)</f>
        <v>34097753.17</v>
      </c>
      <c r="F48" s="365">
        <f t="shared" si="0"/>
        <v>9552753.170000002</v>
      </c>
    </row>
    <row r="49" spans="1:6" ht="23.25">
      <c r="A49" s="367" t="s">
        <v>166</v>
      </c>
      <c r="B49" s="357"/>
      <c r="C49" s="360"/>
      <c r="D49" s="10"/>
      <c r="E49" s="10"/>
      <c r="F49" s="361"/>
    </row>
    <row r="50" spans="1:6" ht="23.25">
      <c r="A50" s="366" t="s">
        <v>167</v>
      </c>
      <c r="B50" s="357"/>
      <c r="C50" s="360"/>
      <c r="D50" s="10"/>
      <c r="E50" s="10"/>
      <c r="F50" s="361"/>
    </row>
    <row r="51" spans="1:6" ht="23.25">
      <c r="A51" s="17" t="s">
        <v>139</v>
      </c>
      <c r="B51" s="357" t="s">
        <v>168</v>
      </c>
      <c r="C51" s="360" t="s">
        <v>25</v>
      </c>
      <c r="D51" s="10">
        <v>12000000</v>
      </c>
      <c r="E51" s="10">
        <v>24907010</v>
      </c>
      <c r="F51" s="361">
        <f>E52-D52</f>
        <v>12907010</v>
      </c>
    </row>
    <row r="52" spans="1:6" ht="23.25">
      <c r="A52" s="366"/>
      <c r="B52" s="363" t="s">
        <v>53</v>
      </c>
      <c r="C52" s="360"/>
      <c r="D52" s="364">
        <f>SUM(D51)</f>
        <v>12000000</v>
      </c>
      <c r="E52" s="364">
        <f>SUM(E51:E51)</f>
        <v>24907010</v>
      </c>
      <c r="F52" s="365">
        <f t="shared" si="0"/>
        <v>12907010</v>
      </c>
    </row>
    <row r="53" spans="2:10" ht="23.25">
      <c r="B53" s="363" t="s">
        <v>17</v>
      </c>
      <c r="C53" s="375"/>
      <c r="D53" s="364">
        <f>D11+D26+D29+D34+D48+D52</f>
        <v>39002400</v>
      </c>
      <c r="E53" s="364">
        <f>E11+E26+E29+E34+E48+E52</f>
        <v>62750394.56</v>
      </c>
      <c r="F53" s="365">
        <f>E53-D53</f>
        <v>23747994.560000002</v>
      </c>
      <c r="H53" s="15"/>
      <c r="I53" s="15"/>
      <c r="J53" s="15"/>
    </row>
    <row r="54" spans="1:8" ht="23.25">
      <c r="A54" s="367" t="s">
        <v>169</v>
      </c>
      <c r="B54" s="357"/>
      <c r="C54" s="360"/>
      <c r="D54" s="10"/>
      <c r="E54" s="10"/>
      <c r="F54" s="361"/>
      <c r="H54" s="27"/>
    </row>
    <row r="55" spans="1:8" ht="23.25">
      <c r="A55" s="369" t="s">
        <v>712</v>
      </c>
      <c r="B55" s="357"/>
      <c r="C55" s="360"/>
      <c r="D55" s="10"/>
      <c r="E55" s="10"/>
      <c r="F55" s="361"/>
      <c r="H55" s="27"/>
    </row>
    <row r="56" spans="1:8" ht="23.25">
      <c r="A56" s="367"/>
      <c r="B56" s="449" t="s">
        <v>713</v>
      </c>
      <c r="C56" s="360"/>
      <c r="D56" s="10"/>
      <c r="E56" s="10">
        <v>490566</v>
      </c>
      <c r="F56" s="361"/>
      <c r="H56" s="27"/>
    </row>
    <row r="57" spans="1:8" ht="23.25">
      <c r="A57" s="367"/>
      <c r="B57" s="449" t="s">
        <v>714</v>
      </c>
      <c r="C57" s="360"/>
      <c r="D57" s="10"/>
      <c r="E57" s="10">
        <v>10000</v>
      </c>
      <c r="F57" s="361"/>
      <c r="H57" s="27"/>
    </row>
    <row r="58" spans="1:8" ht="23.25">
      <c r="A58" s="367"/>
      <c r="B58" s="370" t="s">
        <v>715</v>
      </c>
      <c r="C58" s="360"/>
      <c r="D58" s="10"/>
      <c r="E58" s="364">
        <f>SUM(E56:E57)</f>
        <v>500566</v>
      </c>
      <c r="F58" s="361"/>
      <c r="H58" s="27"/>
    </row>
    <row r="59" spans="1:8" ht="23.25">
      <c r="A59" s="369" t="s">
        <v>170</v>
      </c>
      <c r="B59" s="357"/>
      <c r="C59" s="360"/>
      <c r="D59" s="10"/>
      <c r="E59" s="10"/>
      <c r="F59" s="361"/>
      <c r="H59" s="27"/>
    </row>
    <row r="60" spans="1:8" ht="23.25">
      <c r="A60" s="17"/>
      <c r="B60" s="357" t="s">
        <v>716</v>
      </c>
      <c r="C60" s="360"/>
      <c r="D60" s="10"/>
      <c r="E60" s="10">
        <v>14072100</v>
      </c>
      <c r="F60" s="361"/>
      <c r="H60" s="27"/>
    </row>
    <row r="61" spans="1:8" ht="23.25">
      <c r="A61" s="17"/>
      <c r="B61" s="357" t="s">
        <v>717</v>
      </c>
      <c r="C61" s="360"/>
      <c r="D61" s="10"/>
      <c r="E61" s="10">
        <v>1462500</v>
      </c>
      <c r="F61" s="361"/>
      <c r="H61" s="27"/>
    </row>
    <row r="62" spans="1:6" ht="23.25">
      <c r="A62" s="17"/>
      <c r="B62" s="357" t="s">
        <v>718</v>
      </c>
      <c r="C62" s="360"/>
      <c r="D62" s="10"/>
      <c r="E62" s="10">
        <v>998000</v>
      </c>
      <c r="F62" s="361"/>
    </row>
    <row r="63" spans="1:6" ht="23.25">
      <c r="A63" s="17"/>
      <c r="B63" s="357" t="s">
        <v>719</v>
      </c>
      <c r="C63" s="360"/>
      <c r="D63" s="10"/>
      <c r="E63" s="10">
        <v>998000</v>
      </c>
      <c r="F63" s="361"/>
    </row>
    <row r="64" spans="1:6" ht="23.25">
      <c r="A64" s="17"/>
      <c r="B64" s="357" t="s">
        <v>720</v>
      </c>
      <c r="C64" s="360"/>
      <c r="D64" s="10"/>
      <c r="E64" s="10">
        <v>50600</v>
      </c>
      <c r="F64" s="361"/>
    </row>
    <row r="65" spans="1:6" ht="23.25">
      <c r="A65" s="17"/>
      <c r="B65" s="41" t="s">
        <v>721</v>
      </c>
      <c r="C65" s="360"/>
      <c r="D65" s="10"/>
      <c r="E65" s="10">
        <v>131500</v>
      </c>
      <c r="F65" s="361"/>
    </row>
    <row r="66" spans="2:6" ht="23.25">
      <c r="B66" s="370" t="s">
        <v>326</v>
      </c>
      <c r="C66" s="360"/>
      <c r="D66" s="31"/>
      <c r="E66" s="364">
        <f>SUM(E60:E65)</f>
        <v>17712700</v>
      </c>
      <c r="F66" s="372"/>
    </row>
    <row r="67" spans="2:9" ht="23.25">
      <c r="B67" s="370" t="s">
        <v>67</v>
      </c>
      <c r="C67" s="375"/>
      <c r="D67" s="450">
        <f>D11+D26+D29+D34+D48+D52+D66</f>
        <v>39002400</v>
      </c>
      <c r="E67" s="450">
        <f>E11+E26+E29+E34+E48+E52+E66+E58</f>
        <v>80963660.56</v>
      </c>
      <c r="F67" s="451">
        <f t="shared" si="0"/>
        <v>41961260.56</v>
      </c>
      <c r="H67" s="15"/>
      <c r="I67" s="15"/>
    </row>
    <row r="68" spans="1:6" ht="23.25">
      <c r="A68" s="18"/>
      <c r="B68" s="11"/>
      <c r="C68" s="17"/>
      <c r="D68" s="13"/>
      <c r="E68" s="13"/>
      <c r="F68" s="374"/>
    </row>
    <row r="69" spans="1:6" ht="23.25">
      <c r="A69" s="11"/>
      <c r="B69" s="11"/>
      <c r="C69" s="17"/>
      <c r="D69" s="452"/>
      <c r="E69" s="452"/>
      <c r="F69" s="374"/>
    </row>
    <row r="74" spans="2:6" ht="23.25">
      <c r="B74" s="4"/>
      <c r="C74" s="4"/>
      <c r="D74" s="4"/>
      <c r="E74" s="4"/>
      <c r="F74" s="4"/>
    </row>
    <row r="75" spans="3:6" ht="18.75" customHeight="1">
      <c r="C75" s="4"/>
      <c r="D75" s="4"/>
      <c r="E75" s="4"/>
      <c r="F75" s="4"/>
    </row>
    <row r="76" spans="1:4" ht="30" customHeight="1">
      <c r="A76" s="4"/>
      <c r="D76" s="8"/>
    </row>
  </sheetData>
  <mergeCells count="6">
    <mergeCell ref="A1:F1"/>
    <mergeCell ref="A2:F2"/>
    <mergeCell ref="A3:F3"/>
    <mergeCell ref="A4:B5"/>
    <mergeCell ref="D4:D5"/>
    <mergeCell ref="E4:E5"/>
  </mergeCells>
  <printOptions/>
  <pageMargins left="0.33" right="0.23" top="0.48" bottom="0.33" header="0.35" footer="0.28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61">
      <selection activeCell="H73" sqref="H73"/>
    </sheetView>
  </sheetViews>
  <sheetFormatPr defaultColWidth="9.140625" defaultRowHeight="21.75"/>
  <cols>
    <col min="1" max="1" width="5.421875" style="522" customWidth="1"/>
    <col min="2" max="2" width="47.00390625" style="522" customWidth="1"/>
    <col min="3" max="3" width="6.28125" style="522" customWidth="1"/>
    <col min="4" max="4" width="16.421875" style="522" customWidth="1"/>
    <col min="5" max="6" width="15.421875" style="522" customWidth="1"/>
    <col min="7" max="7" width="9.140625" style="522" customWidth="1"/>
    <col min="8" max="9" width="13.8515625" style="522" bestFit="1" customWidth="1"/>
    <col min="10" max="10" width="12.7109375" style="522" bestFit="1" customWidth="1"/>
    <col min="11" max="16384" width="9.140625" style="522" customWidth="1"/>
  </cols>
  <sheetData>
    <row r="1" spans="1:6" ht="21.75">
      <c r="A1" s="640" t="s">
        <v>804</v>
      </c>
      <c r="B1" s="640"/>
      <c r="C1" s="640"/>
      <c r="D1" s="640"/>
      <c r="E1" s="640"/>
      <c r="F1" s="640"/>
    </row>
    <row r="2" spans="1:6" ht="21.75">
      <c r="A2" s="640" t="s">
        <v>704</v>
      </c>
      <c r="B2" s="640"/>
      <c r="C2" s="640"/>
      <c r="D2" s="640"/>
      <c r="E2" s="640"/>
      <c r="F2" s="640"/>
    </row>
    <row r="3" spans="1:6" ht="21.75">
      <c r="A3" s="640" t="s">
        <v>813</v>
      </c>
      <c r="B3" s="640"/>
      <c r="C3" s="640"/>
      <c r="D3" s="640"/>
      <c r="E3" s="640"/>
      <c r="F3" s="640"/>
    </row>
    <row r="4" spans="1:6" s="521" customFormat="1" ht="21.75">
      <c r="A4" s="641" t="s">
        <v>4</v>
      </c>
      <c r="B4" s="642"/>
      <c r="C4" s="523" t="s">
        <v>5</v>
      </c>
      <c r="D4" s="642" t="s">
        <v>2</v>
      </c>
      <c r="E4" s="642" t="s">
        <v>61</v>
      </c>
      <c r="F4" s="524" t="s">
        <v>68</v>
      </c>
    </row>
    <row r="5" spans="1:6" s="521" customFormat="1" ht="21.75">
      <c r="A5" s="643"/>
      <c r="B5" s="644"/>
      <c r="C5" s="525" t="s">
        <v>6</v>
      </c>
      <c r="D5" s="644"/>
      <c r="E5" s="644"/>
      <c r="F5" s="526" t="s">
        <v>69</v>
      </c>
    </row>
    <row r="6" spans="1:6" ht="21.75">
      <c r="A6" s="527" t="s">
        <v>127</v>
      </c>
      <c r="B6" s="528"/>
      <c r="C6" s="529"/>
      <c r="D6" s="530"/>
      <c r="E6" s="531"/>
      <c r="F6" s="531"/>
    </row>
    <row r="7" spans="1:6" ht="21.75">
      <c r="A7" s="532" t="s">
        <v>128</v>
      </c>
      <c r="B7" s="528"/>
      <c r="C7" s="533"/>
      <c r="D7" s="530"/>
      <c r="E7" s="531"/>
      <c r="F7" s="531"/>
    </row>
    <row r="8" spans="1:6" ht="21.75">
      <c r="A8" s="534" t="s">
        <v>139</v>
      </c>
      <c r="B8" s="528" t="s">
        <v>129</v>
      </c>
      <c r="C8" s="533" t="s">
        <v>171</v>
      </c>
      <c r="D8" s="531">
        <v>1000000</v>
      </c>
      <c r="E8" s="531">
        <v>1331560.14</v>
      </c>
      <c r="F8" s="535">
        <f aca="true" t="shared" si="0" ref="F8:F68">E8-D8</f>
        <v>331560.1399999999</v>
      </c>
    </row>
    <row r="9" spans="1:6" ht="21.75">
      <c r="A9" s="534" t="s">
        <v>140</v>
      </c>
      <c r="B9" s="528" t="s">
        <v>130</v>
      </c>
      <c r="C9" s="533" t="s">
        <v>172</v>
      </c>
      <c r="D9" s="531">
        <v>8000</v>
      </c>
      <c r="E9" s="531">
        <v>7324.02</v>
      </c>
      <c r="F9" s="535">
        <f t="shared" si="0"/>
        <v>-675.9799999999996</v>
      </c>
    </row>
    <row r="10" spans="1:6" ht="21.75">
      <c r="A10" s="534" t="s">
        <v>141</v>
      </c>
      <c r="B10" s="528" t="s">
        <v>131</v>
      </c>
      <c r="C10" s="533" t="s">
        <v>173</v>
      </c>
      <c r="D10" s="531">
        <v>200000</v>
      </c>
      <c r="E10" s="531">
        <v>274868.6</v>
      </c>
      <c r="F10" s="535">
        <f t="shared" si="0"/>
        <v>74868.59999999998</v>
      </c>
    </row>
    <row r="11" spans="1:6" ht="21.75">
      <c r="A11" s="536"/>
      <c r="B11" s="537" t="s">
        <v>53</v>
      </c>
      <c r="C11" s="533"/>
      <c r="D11" s="538">
        <f>SUM(D8:D10)</f>
        <v>1208000</v>
      </c>
      <c r="E11" s="538">
        <f>SUM(E8:E10)</f>
        <v>1613752.7599999998</v>
      </c>
      <c r="F11" s="539">
        <f t="shared" si="0"/>
        <v>405752.7599999998</v>
      </c>
    </row>
    <row r="12" spans="1:6" ht="21.75">
      <c r="A12" s="532" t="s">
        <v>132</v>
      </c>
      <c r="B12" s="528"/>
      <c r="C12" s="533"/>
      <c r="D12" s="531"/>
      <c r="E12" s="531"/>
      <c r="F12" s="535"/>
    </row>
    <row r="13" spans="1:6" ht="21.75">
      <c r="A13" s="534" t="s">
        <v>139</v>
      </c>
      <c r="B13" s="528" t="s">
        <v>133</v>
      </c>
      <c r="C13" s="533" t="s">
        <v>327</v>
      </c>
      <c r="D13" s="531">
        <v>500</v>
      </c>
      <c r="E13" s="531">
        <v>0</v>
      </c>
      <c r="F13" s="535">
        <f t="shared" si="0"/>
        <v>-500</v>
      </c>
    </row>
    <row r="14" spans="1:6" ht="21.75">
      <c r="A14" s="534" t="s">
        <v>140</v>
      </c>
      <c r="B14" s="528" t="s">
        <v>134</v>
      </c>
      <c r="C14" s="533" t="s">
        <v>174</v>
      </c>
      <c r="D14" s="531">
        <v>100</v>
      </c>
      <c r="E14" s="531">
        <v>19</v>
      </c>
      <c r="F14" s="535">
        <f t="shared" si="0"/>
        <v>-81</v>
      </c>
    </row>
    <row r="15" spans="1:6" ht="21.75">
      <c r="A15" s="534" t="s">
        <v>141</v>
      </c>
      <c r="B15" s="528" t="s">
        <v>135</v>
      </c>
      <c r="C15" s="533" t="s">
        <v>175</v>
      </c>
      <c r="D15" s="531">
        <v>20000</v>
      </c>
      <c r="E15" s="531">
        <v>26862.9</v>
      </c>
      <c r="F15" s="535">
        <f t="shared" si="0"/>
        <v>6862.9000000000015</v>
      </c>
    </row>
    <row r="16" spans="1:6" ht="21.75">
      <c r="A16" s="534" t="s">
        <v>142</v>
      </c>
      <c r="B16" s="528" t="s">
        <v>200</v>
      </c>
      <c r="C16" s="533" t="s">
        <v>328</v>
      </c>
      <c r="D16" s="531">
        <v>850000</v>
      </c>
      <c r="E16" s="531">
        <v>1035100</v>
      </c>
      <c r="F16" s="535">
        <f t="shared" si="0"/>
        <v>185100</v>
      </c>
    </row>
    <row r="17" spans="1:6" ht="21.75">
      <c r="A17" s="534" t="s">
        <v>143</v>
      </c>
      <c r="B17" s="528" t="s">
        <v>201</v>
      </c>
      <c r="C17" s="533" t="s">
        <v>176</v>
      </c>
      <c r="D17" s="531">
        <v>12000</v>
      </c>
      <c r="E17" s="531">
        <v>12000</v>
      </c>
      <c r="F17" s="535">
        <f t="shared" si="0"/>
        <v>0</v>
      </c>
    </row>
    <row r="18" spans="1:6" ht="21.75">
      <c r="A18" s="534" t="s">
        <v>144</v>
      </c>
      <c r="B18" s="528" t="s">
        <v>706</v>
      </c>
      <c r="C18" s="533"/>
      <c r="D18" s="531">
        <v>1000</v>
      </c>
      <c r="E18" s="531">
        <v>1920</v>
      </c>
      <c r="F18" s="535">
        <f t="shared" si="0"/>
        <v>920</v>
      </c>
    </row>
    <row r="19" spans="1:6" ht="21.75">
      <c r="A19" s="534" t="s">
        <v>145</v>
      </c>
      <c r="B19" s="528" t="s">
        <v>149</v>
      </c>
      <c r="C19" s="533" t="s">
        <v>329</v>
      </c>
      <c r="D19" s="531">
        <v>1000</v>
      </c>
      <c r="E19" s="531">
        <v>0</v>
      </c>
      <c r="F19" s="535">
        <f t="shared" si="0"/>
        <v>-1000</v>
      </c>
    </row>
    <row r="20" spans="1:6" ht="21.75">
      <c r="A20" s="534" t="s">
        <v>146</v>
      </c>
      <c r="B20" s="528" t="s">
        <v>136</v>
      </c>
      <c r="C20" s="533" t="s">
        <v>330</v>
      </c>
      <c r="D20" s="531">
        <v>2000</v>
      </c>
      <c r="E20" s="531">
        <v>7900</v>
      </c>
      <c r="F20" s="535">
        <f t="shared" si="0"/>
        <v>5900</v>
      </c>
    </row>
    <row r="21" spans="1:6" ht="21.75">
      <c r="A21" s="534" t="s">
        <v>147</v>
      </c>
      <c r="B21" s="528" t="s">
        <v>226</v>
      </c>
      <c r="C21" s="533" t="s">
        <v>331</v>
      </c>
      <c r="D21" s="531">
        <v>1000</v>
      </c>
      <c r="E21" s="531">
        <v>0</v>
      </c>
      <c r="F21" s="535">
        <f t="shared" si="0"/>
        <v>-1000</v>
      </c>
    </row>
    <row r="22" spans="1:6" ht="21.75">
      <c r="A22" s="534" t="s">
        <v>148</v>
      </c>
      <c r="B22" s="528" t="s">
        <v>138</v>
      </c>
      <c r="C22" s="533" t="s">
        <v>332</v>
      </c>
      <c r="D22" s="531">
        <v>2800</v>
      </c>
      <c r="E22" s="531">
        <v>4140</v>
      </c>
      <c r="F22" s="535">
        <f t="shared" si="0"/>
        <v>1340</v>
      </c>
    </row>
    <row r="23" spans="1:6" ht="21.75">
      <c r="A23" s="534" t="s">
        <v>202</v>
      </c>
      <c r="B23" s="528" t="s">
        <v>137</v>
      </c>
      <c r="C23" s="533" t="s">
        <v>333</v>
      </c>
      <c r="D23" s="531">
        <v>20000</v>
      </c>
      <c r="E23" s="531">
        <v>26100</v>
      </c>
      <c r="F23" s="535">
        <f t="shared" si="0"/>
        <v>6100</v>
      </c>
    </row>
    <row r="24" spans="1:6" ht="21.75">
      <c r="A24" s="534" t="s">
        <v>707</v>
      </c>
      <c r="B24" s="528" t="s">
        <v>283</v>
      </c>
      <c r="C24" s="533" t="s">
        <v>334</v>
      </c>
      <c r="D24" s="531">
        <v>13000</v>
      </c>
      <c r="E24" s="531">
        <v>12900</v>
      </c>
      <c r="F24" s="535">
        <f t="shared" si="0"/>
        <v>-100</v>
      </c>
    </row>
    <row r="25" spans="1:6" ht="21.75">
      <c r="A25" s="534" t="s">
        <v>708</v>
      </c>
      <c r="B25" s="528" t="s">
        <v>709</v>
      </c>
      <c r="C25" s="533"/>
      <c r="D25" s="531"/>
      <c r="E25" s="531">
        <v>500</v>
      </c>
      <c r="F25" s="535">
        <v>500</v>
      </c>
    </row>
    <row r="26" spans="1:6" ht="21.75">
      <c r="A26" s="534"/>
      <c r="B26" s="537" t="s">
        <v>53</v>
      </c>
      <c r="C26" s="533"/>
      <c r="D26" s="538">
        <f>SUM(D13:D24)</f>
        <v>923400</v>
      </c>
      <c r="E26" s="538">
        <f>SUM(E13:E25)</f>
        <v>1127441.9</v>
      </c>
      <c r="F26" s="539">
        <f t="shared" si="0"/>
        <v>204041.8999999999</v>
      </c>
    </row>
    <row r="27" spans="1:6" ht="21.75">
      <c r="A27" s="540" t="s">
        <v>150</v>
      </c>
      <c r="B27" s="528"/>
      <c r="C27" s="533"/>
      <c r="D27" s="531"/>
      <c r="E27" s="531"/>
      <c r="F27" s="535"/>
    </row>
    <row r="28" spans="1:6" ht="21.75">
      <c r="A28" s="534" t="s">
        <v>139</v>
      </c>
      <c r="B28" s="528" t="s">
        <v>151</v>
      </c>
      <c r="C28" s="533" t="s">
        <v>177</v>
      </c>
      <c r="D28" s="531">
        <v>185000</v>
      </c>
      <c r="E28" s="531">
        <v>550324.18</v>
      </c>
      <c r="F28" s="535">
        <f t="shared" si="0"/>
        <v>365324.18000000005</v>
      </c>
    </row>
    <row r="29" spans="1:6" ht="21.75">
      <c r="A29" s="534"/>
      <c r="B29" s="537" t="s">
        <v>53</v>
      </c>
      <c r="C29" s="533"/>
      <c r="D29" s="538">
        <f>SUM(D28:D28)</f>
        <v>185000</v>
      </c>
      <c r="E29" s="538">
        <f>SUM(E28:E28)</f>
        <v>550324.18</v>
      </c>
      <c r="F29" s="539">
        <f t="shared" si="0"/>
        <v>365324.18000000005</v>
      </c>
    </row>
    <row r="30" spans="1:6" ht="21.75">
      <c r="A30" s="540" t="s">
        <v>152</v>
      </c>
      <c r="B30" s="528"/>
      <c r="C30" s="533"/>
      <c r="D30" s="531"/>
      <c r="E30" s="531"/>
      <c r="F30" s="535"/>
    </row>
    <row r="31" spans="1:6" ht="21.75">
      <c r="A31" s="534" t="s">
        <v>139</v>
      </c>
      <c r="B31" s="528" t="s">
        <v>153</v>
      </c>
      <c r="C31" s="533" t="s">
        <v>178</v>
      </c>
      <c r="D31" s="531">
        <v>100000</v>
      </c>
      <c r="E31" s="531">
        <v>449900</v>
      </c>
      <c r="F31" s="535">
        <f t="shared" si="0"/>
        <v>349900</v>
      </c>
    </row>
    <row r="32" spans="1:6" ht="21.75">
      <c r="A32" s="534" t="s">
        <v>140</v>
      </c>
      <c r="B32" s="528" t="s">
        <v>154</v>
      </c>
      <c r="C32" s="533" t="s">
        <v>179</v>
      </c>
      <c r="D32" s="531">
        <v>1000</v>
      </c>
      <c r="E32" s="531">
        <v>160</v>
      </c>
      <c r="F32" s="535">
        <f t="shared" si="0"/>
        <v>-840</v>
      </c>
    </row>
    <row r="33" spans="1:6" ht="21.75">
      <c r="A33" s="534" t="s">
        <v>141</v>
      </c>
      <c r="B33" s="528" t="s">
        <v>155</v>
      </c>
      <c r="C33" s="533" t="s">
        <v>180</v>
      </c>
      <c r="D33" s="531">
        <v>40000</v>
      </c>
      <c r="E33" s="531">
        <v>4052.55</v>
      </c>
      <c r="F33" s="535">
        <f t="shared" si="0"/>
        <v>-35947.45</v>
      </c>
    </row>
    <row r="34" spans="1:6" ht="21.75">
      <c r="A34" s="534"/>
      <c r="B34" s="537" t="s">
        <v>53</v>
      </c>
      <c r="C34" s="533"/>
      <c r="D34" s="538">
        <f>SUM(D31:D33)</f>
        <v>141000</v>
      </c>
      <c r="E34" s="538">
        <f>SUM(E31:E33)</f>
        <v>454112.55</v>
      </c>
      <c r="F34" s="539">
        <f t="shared" si="0"/>
        <v>313112.55</v>
      </c>
    </row>
    <row r="35" spans="1:6" ht="21.75">
      <c r="A35" s="541" t="s">
        <v>156</v>
      </c>
      <c r="B35" s="528"/>
      <c r="C35" s="533"/>
      <c r="D35" s="531"/>
      <c r="E35" s="531"/>
      <c r="F35" s="535"/>
    </row>
    <row r="36" spans="1:6" ht="21.75">
      <c r="A36" s="528" t="s">
        <v>157</v>
      </c>
      <c r="B36" s="528"/>
      <c r="C36" s="548"/>
      <c r="D36" s="531"/>
      <c r="E36" s="531"/>
      <c r="F36" s="535"/>
    </row>
    <row r="37" spans="1:6" ht="21.75">
      <c r="A37" s="534" t="s">
        <v>139</v>
      </c>
      <c r="B37" s="528" t="s">
        <v>158</v>
      </c>
      <c r="C37" s="548" t="s">
        <v>181</v>
      </c>
      <c r="D37" s="531">
        <v>40000</v>
      </c>
      <c r="E37" s="531">
        <v>0</v>
      </c>
      <c r="F37" s="535">
        <f t="shared" si="0"/>
        <v>-40000</v>
      </c>
    </row>
    <row r="38" spans="1:6" ht="21.75">
      <c r="A38" s="534" t="s">
        <v>140</v>
      </c>
      <c r="B38" s="528" t="s">
        <v>279</v>
      </c>
      <c r="C38" s="542" t="s">
        <v>182</v>
      </c>
      <c r="D38" s="543">
        <v>5700000</v>
      </c>
      <c r="E38" s="543">
        <v>7010161.01</v>
      </c>
      <c r="F38" s="544">
        <f t="shared" si="0"/>
        <v>1310161.0099999998</v>
      </c>
    </row>
    <row r="39" spans="1:6" ht="21.75">
      <c r="A39" s="534" t="s">
        <v>141</v>
      </c>
      <c r="B39" s="528" t="s">
        <v>280</v>
      </c>
      <c r="C39" s="545" t="s">
        <v>281</v>
      </c>
      <c r="D39" s="546">
        <v>4500000</v>
      </c>
      <c r="E39" s="546">
        <v>6626659.23</v>
      </c>
      <c r="F39" s="547">
        <f t="shared" si="0"/>
        <v>2126659.2300000004</v>
      </c>
    </row>
    <row r="40" spans="1:6" ht="21.75">
      <c r="A40" s="534" t="s">
        <v>142</v>
      </c>
      <c r="B40" s="528" t="s">
        <v>159</v>
      </c>
      <c r="C40" s="533" t="s">
        <v>183</v>
      </c>
      <c r="D40" s="531">
        <v>130000</v>
      </c>
      <c r="E40" s="531">
        <v>318952.4</v>
      </c>
      <c r="F40" s="535">
        <f t="shared" si="0"/>
        <v>188952.40000000002</v>
      </c>
    </row>
    <row r="41" spans="1:6" ht="21.75">
      <c r="A41" s="534" t="s">
        <v>143</v>
      </c>
      <c r="B41" s="528" t="s">
        <v>160</v>
      </c>
      <c r="C41" s="533" t="s">
        <v>184</v>
      </c>
      <c r="D41" s="531">
        <v>2000000</v>
      </c>
      <c r="E41" s="531">
        <v>2939597.74</v>
      </c>
      <c r="F41" s="535">
        <f t="shared" si="0"/>
        <v>939597.7400000002</v>
      </c>
    </row>
    <row r="42" spans="1:6" ht="21.75">
      <c r="A42" s="534" t="s">
        <v>144</v>
      </c>
      <c r="B42" s="528" t="s">
        <v>161</v>
      </c>
      <c r="C42" s="533" t="s">
        <v>185</v>
      </c>
      <c r="D42" s="531">
        <v>5200000</v>
      </c>
      <c r="E42" s="531">
        <v>5286157.32</v>
      </c>
      <c r="F42" s="535">
        <f t="shared" si="0"/>
        <v>86157.3200000003</v>
      </c>
    </row>
    <row r="43" spans="1:6" ht="21.75">
      <c r="A43" s="534" t="s">
        <v>145</v>
      </c>
      <c r="B43" s="528" t="s">
        <v>162</v>
      </c>
      <c r="C43" s="533" t="s">
        <v>636</v>
      </c>
      <c r="D43" s="531">
        <v>2000</v>
      </c>
      <c r="E43" s="531">
        <v>0</v>
      </c>
      <c r="F43" s="535">
        <f t="shared" si="0"/>
        <v>-2000</v>
      </c>
    </row>
    <row r="44" spans="1:6" ht="21.75">
      <c r="A44" s="534" t="s">
        <v>146</v>
      </c>
      <c r="B44" s="528" t="s">
        <v>163</v>
      </c>
      <c r="C44" s="533" t="s">
        <v>710</v>
      </c>
      <c r="D44" s="531">
        <v>120000</v>
      </c>
      <c r="E44" s="531">
        <v>126469.82</v>
      </c>
      <c r="F44" s="535">
        <f t="shared" si="0"/>
        <v>6469.820000000007</v>
      </c>
    </row>
    <row r="45" spans="1:6" ht="21.75">
      <c r="A45" s="534" t="s">
        <v>147</v>
      </c>
      <c r="B45" s="528" t="s">
        <v>164</v>
      </c>
      <c r="C45" s="533" t="s">
        <v>711</v>
      </c>
      <c r="D45" s="531">
        <v>150000</v>
      </c>
      <c r="E45" s="531">
        <v>214702.65</v>
      </c>
      <c r="F45" s="535">
        <f t="shared" si="0"/>
        <v>64702.649999999994</v>
      </c>
    </row>
    <row r="46" spans="1:6" ht="21.75">
      <c r="A46" s="534" t="s">
        <v>148</v>
      </c>
      <c r="B46" s="528" t="s">
        <v>227</v>
      </c>
      <c r="C46" s="533" t="s">
        <v>186</v>
      </c>
      <c r="D46" s="531">
        <v>6700000</v>
      </c>
      <c r="E46" s="531">
        <v>11573029</v>
      </c>
      <c r="F46" s="535">
        <f t="shared" si="0"/>
        <v>4873029</v>
      </c>
    </row>
    <row r="47" spans="1:6" ht="21.75">
      <c r="A47" s="534" t="s">
        <v>202</v>
      </c>
      <c r="B47" s="528" t="s">
        <v>165</v>
      </c>
      <c r="C47" s="533" t="s">
        <v>187</v>
      </c>
      <c r="D47" s="531">
        <v>3000</v>
      </c>
      <c r="E47" s="531">
        <v>2024</v>
      </c>
      <c r="F47" s="535">
        <f t="shared" si="0"/>
        <v>-976</v>
      </c>
    </row>
    <row r="48" spans="1:6" ht="21.75">
      <c r="A48" s="534"/>
      <c r="B48" s="537" t="s">
        <v>53</v>
      </c>
      <c r="C48" s="533"/>
      <c r="D48" s="538">
        <f>SUM(D37:D47)</f>
        <v>24545000</v>
      </c>
      <c r="E48" s="538">
        <f>SUM(E37:E47)</f>
        <v>34097753.17</v>
      </c>
      <c r="F48" s="539">
        <f t="shared" si="0"/>
        <v>9552753.170000002</v>
      </c>
    </row>
    <row r="49" spans="1:6" ht="22.5" thickBot="1">
      <c r="A49" s="534"/>
      <c r="B49" s="549" t="s">
        <v>815</v>
      </c>
      <c r="C49" s="533"/>
      <c r="D49" s="531"/>
      <c r="E49" s="550">
        <f>E11+E26+E29+E34+E48</f>
        <v>37843384.56</v>
      </c>
      <c r="F49" s="535"/>
    </row>
    <row r="50" spans="1:6" ht="22.5" thickTop="1">
      <c r="A50" s="541" t="s">
        <v>166</v>
      </c>
      <c r="B50" s="528"/>
      <c r="C50" s="533"/>
      <c r="D50" s="531"/>
      <c r="E50" s="531"/>
      <c r="F50" s="535"/>
    </row>
    <row r="51" spans="1:6" ht="21.75">
      <c r="A51" s="540" t="s">
        <v>167</v>
      </c>
      <c r="B51" s="528"/>
      <c r="C51" s="533"/>
      <c r="D51" s="531"/>
      <c r="E51" s="531"/>
      <c r="F51" s="535"/>
    </row>
    <row r="52" spans="1:6" ht="21.75">
      <c r="A52" s="534" t="s">
        <v>139</v>
      </c>
      <c r="B52" s="528" t="s">
        <v>168</v>
      </c>
      <c r="C52" s="533" t="s">
        <v>25</v>
      </c>
      <c r="D52" s="531">
        <v>12000000</v>
      </c>
      <c r="E52" s="531">
        <v>24907010</v>
      </c>
      <c r="F52" s="535">
        <f>E53-D53</f>
        <v>12907010</v>
      </c>
    </row>
    <row r="53" spans="1:6" ht="21.75">
      <c r="A53" s="540"/>
      <c r="B53" s="537" t="s">
        <v>53</v>
      </c>
      <c r="C53" s="533"/>
      <c r="D53" s="538">
        <f>SUM(D52)</f>
        <v>12000000</v>
      </c>
      <c r="E53" s="538">
        <f>SUM(E52:E52)</f>
        <v>24907010</v>
      </c>
      <c r="F53" s="539">
        <f t="shared" si="0"/>
        <v>12907010</v>
      </c>
    </row>
    <row r="54" spans="2:10" ht="21.75">
      <c r="B54" s="549" t="s">
        <v>814</v>
      </c>
      <c r="C54" s="542"/>
      <c r="D54" s="538">
        <f>D11+D26+D29+D34+D48+D53</f>
        <v>39002400</v>
      </c>
      <c r="E54" s="551">
        <f>E11+E26+E29+E34+E48+E53</f>
        <v>62750394.56</v>
      </c>
      <c r="F54" s="539">
        <f>E54-D54</f>
        <v>23747994.560000002</v>
      </c>
      <c r="H54" s="552"/>
      <c r="I54" s="552"/>
      <c r="J54" s="552"/>
    </row>
    <row r="55" spans="1:8" ht="21.75">
      <c r="A55" s="541" t="s">
        <v>169</v>
      </c>
      <c r="B55" s="528"/>
      <c r="C55" s="533"/>
      <c r="D55" s="531"/>
      <c r="E55" s="531"/>
      <c r="F55" s="535"/>
      <c r="H55" s="553"/>
    </row>
    <row r="56" spans="1:8" ht="21.75">
      <c r="A56" s="554" t="s">
        <v>712</v>
      </c>
      <c r="B56" s="528"/>
      <c r="C56" s="533"/>
      <c r="D56" s="531"/>
      <c r="E56" s="531"/>
      <c r="F56" s="535"/>
      <c r="H56" s="553"/>
    </row>
    <row r="57" spans="1:8" ht="21.75">
      <c r="A57" s="541"/>
      <c r="B57" s="555" t="s">
        <v>713</v>
      </c>
      <c r="C57" s="533"/>
      <c r="D57" s="531"/>
      <c r="E57" s="531">
        <v>490566</v>
      </c>
      <c r="F57" s="535"/>
      <c r="H57" s="553"/>
    </row>
    <row r="58" spans="1:8" ht="21.75">
      <c r="A58" s="541"/>
      <c r="B58" s="555" t="s">
        <v>714</v>
      </c>
      <c r="C58" s="533"/>
      <c r="D58" s="531"/>
      <c r="E58" s="531">
        <v>10000</v>
      </c>
      <c r="F58" s="535"/>
      <c r="H58" s="553"/>
    </row>
    <row r="59" spans="1:8" ht="21.75">
      <c r="A59" s="541"/>
      <c r="B59" s="549" t="s">
        <v>715</v>
      </c>
      <c r="C59" s="533"/>
      <c r="D59" s="531"/>
      <c r="E59" s="538">
        <f>SUM(E57:E58)</f>
        <v>500566</v>
      </c>
      <c r="F59" s="535"/>
      <c r="H59" s="553"/>
    </row>
    <row r="60" spans="1:8" ht="21.75">
      <c r="A60" s="554" t="s">
        <v>170</v>
      </c>
      <c r="B60" s="528"/>
      <c r="C60" s="533"/>
      <c r="D60" s="531"/>
      <c r="E60" s="531"/>
      <c r="F60" s="535"/>
      <c r="H60" s="553"/>
    </row>
    <row r="61" spans="1:8" ht="21.75">
      <c r="A61" s="534"/>
      <c r="B61" s="528" t="s">
        <v>716</v>
      </c>
      <c r="C61" s="533"/>
      <c r="D61" s="531"/>
      <c r="E61" s="531">
        <v>14072100</v>
      </c>
      <c r="F61" s="535"/>
      <c r="H61" s="553"/>
    </row>
    <row r="62" spans="1:8" ht="21.75">
      <c r="A62" s="534"/>
      <c r="B62" s="528" t="s">
        <v>717</v>
      </c>
      <c r="C62" s="533"/>
      <c r="D62" s="531"/>
      <c r="E62" s="531">
        <v>1462500</v>
      </c>
      <c r="F62" s="535"/>
      <c r="H62" s="553"/>
    </row>
    <row r="63" spans="1:6" ht="21.75">
      <c r="A63" s="534"/>
      <c r="B63" s="528" t="s">
        <v>718</v>
      </c>
      <c r="C63" s="533"/>
      <c r="D63" s="531"/>
      <c r="E63" s="531">
        <v>998000</v>
      </c>
      <c r="F63" s="535"/>
    </row>
    <row r="64" spans="1:6" ht="21.75">
      <c r="A64" s="534"/>
      <c r="B64" s="528" t="s">
        <v>719</v>
      </c>
      <c r="C64" s="533"/>
      <c r="D64" s="531"/>
      <c r="E64" s="531">
        <v>998000</v>
      </c>
      <c r="F64" s="535"/>
    </row>
    <row r="65" spans="1:6" ht="21.75">
      <c r="A65" s="534"/>
      <c r="B65" s="528" t="s">
        <v>720</v>
      </c>
      <c r="C65" s="533"/>
      <c r="D65" s="531"/>
      <c r="E65" s="531">
        <v>50600</v>
      </c>
      <c r="F65" s="535"/>
    </row>
    <row r="66" spans="1:6" ht="21.75">
      <c r="A66" s="534"/>
      <c r="B66" s="528" t="s">
        <v>721</v>
      </c>
      <c r="C66" s="533"/>
      <c r="D66" s="531"/>
      <c r="E66" s="531">
        <v>131500</v>
      </c>
      <c r="F66" s="535"/>
    </row>
    <row r="67" spans="2:6" ht="21.75">
      <c r="B67" s="549" t="s">
        <v>326</v>
      </c>
      <c r="C67" s="533"/>
      <c r="D67" s="543"/>
      <c r="E67" s="538">
        <f>SUM(E61:E66)</f>
        <v>17712700</v>
      </c>
      <c r="F67" s="544"/>
    </row>
    <row r="68" spans="2:9" ht="21.75">
      <c r="B68" s="549" t="s">
        <v>67</v>
      </c>
      <c r="C68" s="542"/>
      <c r="D68" s="551">
        <f>D11+D26+D29+D34+D48+D53+D67</f>
        <v>39002400</v>
      </c>
      <c r="E68" s="551">
        <f>E11+E26+E29+E34+E48+E53+E67+E59</f>
        <v>80963660.56</v>
      </c>
      <c r="F68" s="556">
        <f t="shared" si="0"/>
        <v>41961260.56</v>
      </c>
      <c r="H68" s="552"/>
      <c r="I68" s="552"/>
    </row>
    <row r="69" spans="1:6" ht="21.75">
      <c r="A69" s="527"/>
      <c r="B69" s="532"/>
      <c r="C69" s="534"/>
      <c r="D69" s="557"/>
      <c r="E69" s="557"/>
      <c r="F69" s="558"/>
    </row>
    <row r="70" spans="1:6" ht="21.75">
      <c r="A70" s="532"/>
      <c r="B70" s="532"/>
      <c r="C70" s="534"/>
      <c r="D70" s="559"/>
      <c r="E70" s="559"/>
      <c r="F70" s="558"/>
    </row>
    <row r="75" spans="2:6" ht="21.75">
      <c r="B75" s="521"/>
      <c r="C75" s="521"/>
      <c r="D75" s="521"/>
      <c r="E75" s="521"/>
      <c r="F75" s="521"/>
    </row>
    <row r="76" spans="3:6" ht="18.75" customHeight="1">
      <c r="C76" s="521"/>
      <c r="D76" s="521"/>
      <c r="E76" s="521"/>
      <c r="F76" s="521"/>
    </row>
    <row r="77" spans="1:4" ht="30" customHeight="1">
      <c r="A77" s="521"/>
      <c r="D77" s="560"/>
    </row>
  </sheetData>
  <mergeCells count="6">
    <mergeCell ref="A1:F1"/>
    <mergeCell ref="A2:F2"/>
    <mergeCell ref="A3:F3"/>
    <mergeCell ref="A4:B5"/>
    <mergeCell ref="D4:D5"/>
    <mergeCell ref="E4:E5"/>
  </mergeCells>
  <printOptions/>
  <pageMargins left="0.38" right="0.2" top="0.45" bottom="0.26" header="0.33" footer="0.19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3" sqref="E13"/>
    </sheetView>
  </sheetViews>
  <sheetFormatPr defaultColWidth="9.140625" defaultRowHeight="21.75"/>
  <cols>
    <col min="1" max="1" width="4.7109375" style="1" customWidth="1"/>
    <col min="2" max="2" width="53.57421875" style="8" customWidth="1"/>
    <col min="3" max="3" width="14.00390625" style="1" customWidth="1"/>
    <col min="4" max="4" width="23.57421875" style="1" customWidth="1"/>
    <col min="5" max="5" width="17.140625" style="1" customWidth="1"/>
    <col min="6" max="6" width="14.28125" style="8" customWidth="1"/>
    <col min="7" max="16384" width="9.140625" style="1" customWidth="1"/>
  </cols>
  <sheetData>
    <row r="1" spans="1:6" ht="26.25">
      <c r="A1" s="587" t="s">
        <v>684</v>
      </c>
      <c r="B1" s="587"/>
      <c r="C1" s="587"/>
      <c r="D1" s="587"/>
      <c r="E1" s="510"/>
      <c r="F1" s="510"/>
    </row>
    <row r="2" spans="1:6" ht="26.25">
      <c r="A2" s="587" t="s">
        <v>80</v>
      </c>
      <c r="B2" s="587"/>
      <c r="C2" s="587"/>
      <c r="D2" s="587"/>
      <c r="E2" s="510"/>
      <c r="F2" s="510"/>
    </row>
    <row r="3" spans="1:6" ht="26.25">
      <c r="A3" s="587" t="s">
        <v>682</v>
      </c>
      <c r="B3" s="587"/>
      <c r="C3" s="587"/>
      <c r="D3" s="587"/>
      <c r="E3" s="510"/>
      <c r="F3" s="510"/>
    </row>
    <row r="4" spans="1:6" ht="23.25">
      <c r="A4" s="646" t="s">
        <v>81</v>
      </c>
      <c r="B4" s="646"/>
      <c r="C4" s="646"/>
      <c r="D4" s="646"/>
      <c r="E4" s="12"/>
      <c r="F4" s="12"/>
    </row>
    <row r="5" spans="1:4" ht="24" thickBot="1">
      <c r="A5" s="1" t="s">
        <v>805</v>
      </c>
      <c r="C5" s="8"/>
      <c r="D5" s="511">
        <v>42654600.589999996</v>
      </c>
    </row>
    <row r="6" spans="1:4" ht="24" thickTop="1">
      <c r="A6" s="1" t="s">
        <v>781</v>
      </c>
      <c r="C6" s="8"/>
      <c r="D6" s="8">
        <v>0</v>
      </c>
    </row>
    <row r="7" spans="1:4" ht="23.25">
      <c r="A7" s="1" t="s">
        <v>806</v>
      </c>
      <c r="C7" s="8"/>
      <c r="D7" s="8"/>
    </row>
    <row r="8" spans="2:4" ht="23.25">
      <c r="B8" s="221" t="s">
        <v>789</v>
      </c>
      <c r="C8" s="8">
        <v>48401863.86</v>
      </c>
      <c r="D8" s="8"/>
    </row>
    <row r="9" spans="2:4" ht="23.25">
      <c r="B9" s="221" t="s">
        <v>790</v>
      </c>
      <c r="C9" s="8">
        <v>23000000</v>
      </c>
      <c r="D9" s="8"/>
    </row>
    <row r="10" spans="2:4" ht="23.25">
      <c r="B10" s="19" t="s">
        <v>791</v>
      </c>
      <c r="C10" s="30">
        <v>662434.56</v>
      </c>
      <c r="D10" s="8">
        <f>C8+C9+C10</f>
        <v>72064298.42</v>
      </c>
    </row>
    <row r="11" spans="1:4" ht="23.25">
      <c r="A11" s="1" t="s">
        <v>807</v>
      </c>
      <c r="C11" s="8"/>
      <c r="D11" s="8">
        <v>4122.61</v>
      </c>
    </row>
    <row r="12" spans="1:4" ht="23.25">
      <c r="A12" s="1" t="s">
        <v>785</v>
      </c>
      <c r="C12" s="8"/>
      <c r="D12" s="8">
        <v>70740</v>
      </c>
    </row>
    <row r="13" spans="1:4" ht="23.25">
      <c r="A13" s="1" t="s">
        <v>786</v>
      </c>
      <c r="C13" s="8"/>
      <c r="D13" s="8">
        <v>476600</v>
      </c>
    </row>
    <row r="14" spans="2:4" ht="25.5">
      <c r="B14" s="512" t="s">
        <v>782</v>
      </c>
      <c r="C14" s="8"/>
      <c r="D14" s="513">
        <f>SUM(D7:D13)</f>
        <v>72615761.03</v>
      </c>
    </row>
    <row r="15" spans="1:4" ht="23.25">
      <c r="A15" s="645" t="s">
        <v>82</v>
      </c>
      <c r="B15" s="645"/>
      <c r="C15" s="645"/>
      <c r="D15" s="645"/>
    </row>
    <row r="16" spans="1:4" ht="25.5">
      <c r="A16" s="1" t="s">
        <v>783</v>
      </c>
      <c r="C16" s="8"/>
      <c r="D16" s="513">
        <v>42654600.589999996</v>
      </c>
    </row>
    <row r="17" spans="1:4" ht="23.25">
      <c r="A17" s="1" t="s">
        <v>680</v>
      </c>
      <c r="B17" s="1"/>
      <c r="D17" s="8">
        <v>920</v>
      </c>
    </row>
    <row r="18" spans="1:4" ht="23.25">
      <c r="A18" s="1" t="s">
        <v>808</v>
      </c>
      <c r="C18" s="8"/>
      <c r="D18" s="13">
        <v>3247493.7</v>
      </c>
    </row>
    <row r="19" spans="1:4" ht="23.25">
      <c r="A19" s="1" t="s">
        <v>809</v>
      </c>
      <c r="C19" s="8"/>
      <c r="D19" s="13">
        <v>1960157</v>
      </c>
    </row>
    <row r="20" spans="1:4" ht="23.25">
      <c r="A20" s="1" t="s">
        <v>787</v>
      </c>
      <c r="C20" s="8"/>
      <c r="D20" s="8">
        <v>2906078.01</v>
      </c>
    </row>
    <row r="21" spans="1:4" ht="23.25">
      <c r="A21" s="1" t="s">
        <v>198</v>
      </c>
      <c r="C21" s="8"/>
      <c r="D21" s="8">
        <v>23631179.76</v>
      </c>
    </row>
    <row r="22" spans="1:4" ht="25.5">
      <c r="A22" s="1" t="s">
        <v>788</v>
      </c>
      <c r="C22" s="8"/>
      <c r="D22" s="506">
        <v>40869932.56</v>
      </c>
    </row>
    <row r="23" spans="2:4" ht="25.5">
      <c r="B23" s="508" t="s">
        <v>784</v>
      </c>
      <c r="D23" s="514">
        <f>SUM(D17:D22)</f>
        <v>72615761.03</v>
      </c>
    </row>
    <row r="24" spans="4:5" ht="23.25">
      <c r="D24" s="515"/>
      <c r="E24" s="15"/>
    </row>
    <row r="25" spans="1:4" ht="23.25">
      <c r="A25" s="612"/>
      <c r="B25" s="612"/>
      <c r="C25" s="612"/>
      <c r="D25" s="612"/>
    </row>
    <row r="26" spans="1:4" ht="23.25">
      <c r="A26" s="612"/>
      <c r="B26" s="612"/>
      <c r="C26" s="612"/>
      <c r="D26" s="612"/>
    </row>
    <row r="27" spans="1:4" ht="23.25">
      <c r="A27" s="585"/>
      <c r="B27" s="585"/>
      <c r="C27" s="585"/>
      <c r="D27" s="585"/>
    </row>
    <row r="28" spans="1:4" ht="23.25">
      <c r="A28" s="585"/>
      <c r="B28" s="585"/>
      <c r="C28" s="585"/>
      <c r="D28" s="585"/>
    </row>
    <row r="29" spans="1:4" ht="23.25">
      <c r="A29" s="4"/>
      <c r="B29" s="4"/>
      <c r="C29" s="4"/>
      <c r="D29" s="4"/>
    </row>
    <row r="30" spans="1:4" ht="23.25">
      <c r="A30" s="585"/>
      <c r="B30" s="585"/>
      <c r="C30" s="585"/>
      <c r="D30" s="585"/>
    </row>
    <row r="31" spans="1:4" ht="23.25">
      <c r="A31" s="585"/>
      <c r="B31" s="585"/>
      <c r="C31" s="585"/>
      <c r="D31" s="585"/>
    </row>
    <row r="32" spans="1:4" ht="23.25">
      <c r="A32" s="585"/>
      <c r="B32" s="585"/>
      <c r="C32" s="585"/>
      <c r="D32" s="585"/>
    </row>
    <row r="33" spans="1:4" ht="23.25">
      <c r="A33" s="585"/>
      <c r="B33" s="585"/>
      <c r="C33" s="585"/>
      <c r="D33" s="585"/>
    </row>
    <row r="35" spans="1:4" ht="23.25">
      <c r="A35" s="585"/>
      <c r="B35" s="585"/>
      <c r="C35" s="585"/>
      <c r="D35" s="585"/>
    </row>
    <row r="36" spans="1:4" ht="23.25">
      <c r="A36" s="585"/>
      <c r="B36" s="585"/>
      <c r="C36" s="585"/>
      <c r="D36" s="585"/>
    </row>
    <row r="37" spans="1:4" ht="23.25">
      <c r="A37" s="585"/>
      <c r="B37" s="585"/>
      <c r="C37" s="585"/>
      <c r="D37" s="585"/>
    </row>
  </sheetData>
  <mergeCells count="16">
    <mergeCell ref="A1:D1"/>
    <mergeCell ref="A2:D2"/>
    <mergeCell ref="A3:D3"/>
    <mergeCell ref="A4:D4"/>
    <mergeCell ref="A15:D15"/>
    <mergeCell ref="A25:D25"/>
    <mergeCell ref="A26:D26"/>
    <mergeCell ref="A27:D27"/>
    <mergeCell ref="A28:D28"/>
    <mergeCell ref="A30:D30"/>
    <mergeCell ref="A31:D31"/>
    <mergeCell ref="A32:D32"/>
    <mergeCell ref="A33:D33"/>
    <mergeCell ref="A35:D35"/>
    <mergeCell ref="A36:D36"/>
    <mergeCell ref="A37:D37"/>
  </mergeCells>
  <printOptions/>
  <pageMargins left="0.43" right="0.25" top="0.38" bottom="0.31" header="0.29" footer="0.1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2" sqref="A2:C2"/>
    </sheetView>
  </sheetViews>
  <sheetFormatPr defaultColWidth="9.140625" defaultRowHeight="21.75"/>
  <cols>
    <col min="1" max="1" width="11.28125" style="1" customWidth="1"/>
    <col min="2" max="2" width="59.7109375" style="1" customWidth="1"/>
    <col min="3" max="3" width="18.8515625" style="1" customWidth="1"/>
    <col min="4" max="16384" width="9.140625" style="1" customWidth="1"/>
  </cols>
  <sheetData>
    <row r="1" spans="1:3" ht="23.25">
      <c r="A1" s="586" t="s">
        <v>800</v>
      </c>
      <c r="B1" s="586"/>
      <c r="C1" s="586"/>
    </row>
    <row r="2" spans="1:3" ht="23.25">
      <c r="A2" s="587" t="s">
        <v>684</v>
      </c>
      <c r="B2" s="587"/>
      <c r="C2" s="587"/>
    </row>
    <row r="3" spans="1:3" ht="23.25">
      <c r="A3" s="587" t="s">
        <v>190</v>
      </c>
      <c r="B3" s="587"/>
      <c r="C3" s="587"/>
    </row>
    <row r="4" spans="1:3" ht="23.25">
      <c r="A4" s="587" t="s">
        <v>682</v>
      </c>
      <c r="B4" s="587"/>
      <c r="C4" s="587"/>
    </row>
    <row r="6" ht="23.25">
      <c r="A6" s="1" t="s">
        <v>192</v>
      </c>
    </row>
    <row r="8" spans="1:3" s="4" customFormat="1" ht="23.25">
      <c r="A8" s="4" t="s">
        <v>57</v>
      </c>
      <c r="B8" s="4" t="s">
        <v>4</v>
      </c>
      <c r="C8" s="4" t="s">
        <v>58</v>
      </c>
    </row>
    <row r="9" spans="1:3" ht="23.25">
      <c r="A9" s="4">
        <v>1</v>
      </c>
      <c r="B9" s="1" t="s">
        <v>323</v>
      </c>
      <c r="C9" s="8">
        <v>48401863.86</v>
      </c>
    </row>
    <row r="10" spans="1:3" ht="23.25">
      <c r="A10" s="4">
        <v>2</v>
      </c>
      <c r="B10" s="1" t="s">
        <v>681</v>
      </c>
      <c r="C10" s="13">
        <v>23000000</v>
      </c>
    </row>
    <row r="11" spans="1:3" ht="23.25">
      <c r="A11" s="4">
        <v>3</v>
      </c>
      <c r="B11" s="1" t="s">
        <v>324</v>
      </c>
      <c r="C11" s="8">
        <v>662434.56</v>
      </c>
    </row>
    <row r="12" spans="1:3" ht="23.25">
      <c r="A12" s="4"/>
      <c r="C12" s="8"/>
    </row>
    <row r="13" spans="1:3" ht="23.25">
      <c r="A13" s="4"/>
      <c r="C13" s="30"/>
    </row>
    <row r="14" spans="2:3" ht="25.5">
      <c r="B14" s="2" t="s">
        <v>193</v>
      </c>
      <c r="C14" s="14">
        <f>SUM(C9:C13)</f>
        <v>72064298.42</v>
      </c>
    </row>
    <row r="15" spans="2:3" ht="25.5">
      <c r="B15" s="2"/>
      <c r="C15" s="14"/>
    </row>
    <row r="16" spans="2:3" ht="25.5">
      <c r="B16" s="2"/>
      <c r="C16" s="14"/>
    </row>
    <row r="17" spans="2:3" ht="23.25">
      <c r="B17" s="2"/>
      <c r="C17" s="9"/>
    </row>
    <row r="18" spans="1:4" ht="23.25">
      <c r="A18" s="29"/>
      <c r="B18" s="29"/>
      <c r="C18" s="36"/>
      <c r="D18" s="29"/>
    </row>
    <row r="19" spans="1:4" ht="23.25">
      <c r="A19" s="35"/>
      <c r="B19" s="35"/>
      <c r="C19" s="35"/>
      <c r="D19" s="35"/>
    </row>
    <row r="20" spans="1:4" ht="23.25">
      <c r="A20" s="35"/>
      <c r="B20" s="35"/>
      <c r="C20" s="35"/>
      <c r="D20" s="35"/>
    </row>
    <row r="21" spans="1:4" ht="23.25">
      <c r="A21" s="29"/>
      <c r="B21" s="29"/>
      <c r="C21" s="29"/>
      <c r="D21" s="4"/>
    </row>
    <row r="22" spans="1:4" ht="23.25">
      <c r="A22" s="29"/>
      <c r="B22" s="29"/>
      <c r="C22" s="29"/>
      <c r="D22" s="4"/>
    </row>
    <row r="23" spans="1:4" ht="23.25">
      <c r="A23" s="4"/>
      <c r="B23" s="4"/>
      <c r="C23" s="4"/>
      <c r="D23" s="4"/>
    </row>
    <row r="24" spans="1:4" ht="23.25">
      <c r="A24" s="4"/>
      <c r="B24" s="4"/>
      <c r="C24" s="4"/>
      <c r="D24" s="4"/>
    </row>
    <row r="25" spans="1:4" ht="23.25">
      <c r="A25" s="29"/>
      <c r="B25" s="29"/>
      <c r="C25" s="29"/>
      <c r="D25" s="4"/>
    </row>
    <row r="26" spans="1:4" ht="23.25">
      <c r="A26" s="29"/>
      <c r="B26" s="29"/>
      <c r="C26" s="29"/>
      <c r="D26" s="4"/>
    </row>
    <row r="27" spans="1:4" ht="23.25">
      <c r="A27" s="29"/>
      <c r="B27" s="29"/>
      <c r="C27" s="29"/>
      <c r="D27" s="4"/>
    </row>
    <row r="28" spans="1:4" ht="23.25">
      <c r="A28" s="29"/>
      <c r="B28" s="29"/>
      <c r="C28" s="29"/>
      <c r="D28" s="37"/>
    </row>
    <row r="29" spans="1:4" ht="23.25">
      <c r="A29" s="4"/>
      <c r="B29" s="4"/>
      <c r="C29" s="4"/>
      <c r="D29" s="37"/>
    </row>
    <row r="30" spans="1:4" ht="23.25">
      <c r="A30" s="4"/>
      <c r="B30" s="4"/>
      <c r="C30" s="4"/>
      <c r="D30" s="4"/>
    </row>
    <row r="31" spans="1:4" ht="23.25">
      <c r="A31" s="585"/>
      <c r="B31" s="585"/>
      <c r="C31" s="585"/>
      <c r="D31" s="4"/>
    </row>
    <row r="32" spans="1:4" ht="23.25">
      <c r="A32" s="585"/>
      <c r="B32" s="585"/>
      <c r="C32" s="585"/>
      <c r="D32" s="4"/>
    </row>
    <row r="33" spans="1:4" ht="23.25">
      <c r="A33" s="585"/>
      <c r="B33" s="585"/>
      <c r="C33" s="585"/>
      <c r="D33" s="4"/>
    </row>
    <row r="34" spans="1:4" ht="23.25">
      <c r="A34" s="29"/>
      <c r="B34" s="29"/>
      <c r="C34" s="29"/>
      <c r="D34" s="29"/>
    </row>
    <row r="35" spans="1:4" ht="23.25">
      <c r="A35" s="29"/>
      <c r="B35" s="29"/>
      <c r="C35" s="29"/>
      <c r="D35" s="29"/>
    </row>
    <row r="36" spans="1:4" ht="23.25">
      <c r="A36" s="29"/>
      <c r="B36" s="29"/>
      <c r="C36" s="29"/>
      <c r="D36" s="29"/>
    </row>
  </sheetData>
  <mergeCells count="7">
    <mergeCell ref="A32:C32"/>
    <mergeCell ref="A33:C33"/>
    <mergeCell ref="A31:C31"/>
    <mergeCell ref="A1:C1"/>
    <mergeCell ref="A2:C2"/>
    <mergeCell ref="A3:C3"/>
    <mergeCell ref="A4:C4"/>
  </mergeCells>
  <printOptions/>
  <pageMargins left="0.75" right="0.75" top="0.73" bottom="0.62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B28" sqref="B28"/>
    </sheetView>
  </sheetViews>
  <sheetFormatPr defaultColWidth="9.140625" defaultRowHeight="21.75"/>
  <cols>
    <col min="1" max="1" width="5.7109375" style="221" customWidth="1"/>
    <col min="2" max="2" width="49.140625" style="221" customWidth="1"/>
    <col min="3" max="3" width="14.140625" style="221" customWidth="1"/>
    <col min="4" max="4" width="15.28125" style="221" customWidth="1"/>
    <col min="5" max="5" width="5.00390625" style="221" customWidth="1"/>
    <col min="6" max="6" width="32.7109375" style="221" customWidth="1"/>
    <col min="7" max="7" width="14.28125" style="221" customWidth="1"/>
    <col min="8" max="8" width="15.57421875" style="221" customWidth="1"/>
    <col min="9" max="16384" width="9.140625" style="221" customWidth="1"/>
  </cols>
  <sheetData>
    <row r="1" spans="1:8" ht="21.75">
      <c r="A1" s="618" t="s">
        <v>0</v>
      </c>
      <c r="B1" s="618"/>
      <c r="C1" s="618"/>
      <c r="D1" s="618"/>
      <c r="E1" s="618"/>
      <c r="F1" s="618"/>
      <c r="G1" s="618"/>
      <c r="H1" s="618"/>
    </row>
    <row r="2" spans="1:8" ht="21.75">
      <c r="A2" s="618" t="s">
        <v>80</v>
      </c>
      <c r="B2" s="618"/>
      <c r="C2" s="618"/>
      <c r="D2" s="618"/>
      <c r="E2" s="618"/>
      <c r="F2" s="618"/>
      <c r="G2" s="618"/>
      <c r="H2" s="618"/>
    </row>
    <row r="3" spans="1:8" ht="21.75">
      <c r="A3" s="648" t="s">
        <v>322</v>
      </c>
      <c r="B3" s="648"/>
      <c r="C3" s="648"/>
      <c r="D3" s="648"/>
      <c r="E3" s="648"/>
      <c r="F3" s="648"/>
      <c r="G3" s="648"/>
      <c r="H3" s="648"/>
    </row>
    <row r="4" spans="1:9" ht="21.75">
      <c r="A4" s="647" t="s">
        <v>81</v>
      </c>
      <c r="B4" s="647"/>
      <c r="C4" s="293"/>
      <c r="D4" s="293"/>
      <c r="E4" s="647" t="s">
        <v>82</v>
      </c>
      <c r="F4" s="647"/>
      <c r="G4" s="297"/>
      <c r="H4" s="297"/>
      <c r="I4" s="292"/>
    </row>
    <row r="5" spans="1:9" ht="22.5" thickBot="1">
      <c r="A5" s="19" t="s">
        <v>194</v>
      </c>
      <c r="C5" s="294"/>
      <c r="D5" s="345">
        <f>104633330.98-39000</f>
        <v>104594330.98</v>
      </c>
      <c r="E5" s="221" t="s">
        <v>627</v>
      </c>
      <c r="G5" s="294"/>
      <c r="H5" s="345">
        <f>104633330.98-39000</f>
        <v>104594330.98</v>
      </c>
      <c r="I5" s="292"/>
    </row>
    <row r="6" spans="1:9" ht="22.5" thickTop="1">
      <c r="A6" s="19" t="s">
        <v>621</v>
      </c>
      <c r="C6" s="294"/>
      <c r="D6" s="294">
        <v>3856.86</v>
      </c>
      <c r="E6" s="221" t="s">
        <v>250</v>
      </c>
      <c r="G6" s="294"/>
      <c r="H6" s="294">
        <v>1675510</v>
      </c>
      <c r="I6" s="292"/>
    </row>
    <row r="7" spans="1:9" ht="21.75">
      <c r="A7" s="19" t="s">
        <v>622</v>
      </c>
      <c r="C7" s="294"/>
      <c r="D7" s="294">
        <v>77490</v>
      </c>
      <c r="E7" s="221" t="s">
        <v>51</v>
      </c>
      <c r="G7" s="294"/>
      <c r="H7" s="294">
        <v>488666.36</v>
      </c>
      <c r="I7" s="292"/>
    </row>
    <row r="8" spans="1:9" ht="21.75">
      <c r="A8" s="19" t="s">
        <v>623</v>
      </c>
      <c r="C8" s="294"/>
      <c r="D8" s="294">
        <v>501600</v>
      </c>
      <c r="E8" s="221" t="s">
        <v>628</v>
      </c>
      <c r="G8" s="294"/>
      <c r="H8" s="294">
        <v>2927312.31</v>
      </c>
      <c r="I8" s="292"/>
    </row>
    <row r="9" spans="2:9" ht="21.75">
      <c r="B9" s="19" t="s">
        <v>624</v>
      </c>
      <c r="C9" s="294">
        <v>633107.62</v>
      </c>
      <c r="D9" s="294"/>
      <c r="E9" s="220" t="s">
        <v>629</v>
      </c>
      <c r="G9" s="294"/>
      <c r="H9" s="294">
        <v>1134707.62</v>
      </c>
      <c r="I9" s="292"/>
    </row>
    <row r="10" spans="2:9" ht="21.75">
      <c r="B10" s="221" t="s">
        <v>625</v>
      </c>
      <c r="C10" s="294">
        <v>651829.3</v>
      </c>
      <c r="D10" s="294"/>
      <c r="E10" s="221" t="s">
        <v>630</v>
      </c>
      <c r="G10" s="294"/>
      <c r="H10" s="294">
        <v>19108435.86</v>
      </c>
      <c r="I10" s="292"/>
    </row>
    <row r="11" spans="2:9" ht="21.75">
      <c r="B11" s="221" t="s">
        <v>626</v>
      </c>
      <c r="C11" s="298">
        <v>54841239.35</v>
      </c>
      <c r="D11" s="298">
        <f>C9+C10+C11</f>
        <v>56126176.27</v>
      </c>
      <c r="E11" s="221" t="s">
        <v>631</v>
      </c>
      <c r="G11" s="294">
        <v>17763599.87</v>
      </c>
      <c r="H11" s="294"/>
      <c r="I11" s="292"/>
    </row>
    <row r="12" spans="3:9" ht="21.75">
      <c r="C12" s="294"/>
      <c r="D12" s="294"/>
      <c r="E12" s="347" t="s">
        <v>191</v>
      </c>
      <c r="F12" s="221" t="s">
        <v>632</v>
      </c>
      <c r="G12" s="294">
        <v>19210325.93</v>
      </c>
      <c r="H12" s="294"/>
      <c r="I12" s="292"/>
    </row>
    <row r="13" spans="3:9" ht="21.75">
      <c r="C13" s="294"/>
      <c r="D13" s="294"/>
      <c r="F13" s="221" t="s">
        <v>250</v>
      </c>
      <c r="G13" s="294">
        <v>135563</v>
      </c>
      <c r="H13" s="294"/>
      <c r="I13" s="292"/>
    </row>
    <row r="14" spans="3:9" ht="21.75">
      <c r="C14" s="294"/>
      <c r="D14" s="294"/>
      <c r="F14" s="221" t="s">
        <v>633</v>
      </c>
      <c r="G14" s="294">
        <v>39220.94</v>
      </c>
      <c r="H14" s="294"/>
      <c r="I14" s="292"/>
    </row>
    <row r="15" spans="3:9" ht="21.75">
      <c r="C15" s="294"/>
      <c r="D15" s="294"/>
      <c r="E15" s="347" t="s">
        <v>634</v>
      </c>
      <c r="F15" s="221" t="s">
        <v>75</v>
      </c>
      <c r="G15" s="346" t="s">
        <v>653</v>
      </c>
      <c r="H15" s="294"/>
      <c r="I15" s="292"/>
    </row>
    <row r="16" spans="3:9" ht="21.75">
      <c r="C16" s="295"/>
      <c r="D16" s="295"/>
      <c r="F16" s="221" t="s">
        <v>635</v>
      </c>
      <c r="G16" s="346" t="s">
        <v>654</v>
      </c>
      <c r="H16" s="294"/>
      <c r="I16" s="292"/>
    </row>
    <row r="17" spans="3:9" ht="21.75">
      <c r="C17" s="296"/>
      <c r="D17" s="296"/>
      <c r="E17" s="221" t="s">
        <v>655</v>
      </c>
      <c r="G17" s="298"/>
      <c r="H17" s="298">
        <f>G11+G12+G13+G14-971637.28-4802581.48</f>
        <v>31374490.979999993</v>
      </c>
      <c r="I17" s="292"/>
    </row>
    <row r="18" spans="4:9" ht="22.5" thickBot="1">
      <c r="D18" s="299">
        <f>SUM(D6:D17)</f>
        <v>56709123.13</v>
      </c>
      <c r="G18" s="292"/>
      <c r="H18" s="300">
        <f>SUM(H6:H17)</f>
        <v>56709123.129999995</v>
      </c>
      <c r="I18" s="292"/>
    </row>
    <row r="19" spans="7:9" ht="22.5" thickTop="1">
      <c r="G19" s="292"/>
      <c r="H19" s="292"/>
      <c r="I19" s="292"/>
    </row>
  </sheetData>
  <mergeCells count="5">
    <mergeCell ref="E4:F4"/>
    <mergeCell ref="A1:H1"/>
    <mergeCell ref="A2:H2"/>
    <mergeCell ref="A3:H3"/>
    <mergeCell ref="A4:B4"/>
  </mergeCells>
  <printOptions/>
  <pageMargins left="0.42" right="0.24" top="0.18" bottom="0.21" header="0.23" footer="0.13"/>
  <pageSetup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1" sqref="A1:IV16384"/>
    </sheetView>
  </sheetViews>
  <sheetFormatPr defaultColWidth="9.140625" defaultRowHeight="21.75"/>
  <cols>
    <col min="1" max="1" width="17.00390625" style="46" customWidth="1"/>
    <col min="2" max="2" width="42.57421875" style="46" customWidth="1"/>
    <col min="3" max="3" width="29.140625" style="46" customWidth="1"/>
    <col min="4" max="16384" width="9.140625" style="46" customWidth="1"/>
  </cols>
  <sheetData>
    <row r="1" spans="1:3" ht="23.25">
      <c r="A1" s="613" t="s">
        <v>0</v>
      </c>
      <c r="B1" s="613"/>
      <c r="C1" s="613"/>
    </row>
    <row r="2" spans="1:3" ht="23.25">
      <c r="A2" s="613" t="s">
        <v>188</v>
      </c>
      <c r="B2" s="613"/>
      <c r="C2" s="613"/>
    </row>
    <row r="3" spans="1:3" ht="23.25">
      <c r="A3" s="613" t="s">
        <v>656</v>
      </c>
      <c r="B3" s="613"/>
      <c r="C3" s="613"/>
    </row>
    <row r="5" spans="1:3" ht="23.25">
      <c r="A5" s="615" t="s">
        <v>657</v>
      </c>
      <c r="B5" s="615"/>
      <c r="C5" s="334" t="s">
        <v>658</v>
      </c>
    </row>
    <row r="6" spans="1:3" ht="23.25">
      <c r="A6" s="376" t="s">
        <v>95</v>
      </c>
      <c r="B6" s="377"/>
      <c r="C6" s="376"/>
    </row>
    <row r="7" spans="1:3" ht="23.25">
      <c r="A7" s="378"/>
      <c r="B7" s="379" t="s">
        <v>93</v>
      </c>
      <c r="C7" s="378"/>
    </row>
    <row r="8" spans="1:3" ht="23.25">
      <c r="A8" s="378"/>
      <c r="B8" s="379" t="s">
        <v>94</v>
      </c>
      <c r="C8" s="380">
        <v>15749194</v>
      </c>
    </row>
    <row r="9" spans="1:3" ht="23.25">
      <c r="A9" s="378"/>
      <c r="B9" s="379" t="s">
        <v>97</v>
      </c>
      <c r="C9" s="380">
        <v>65349550.39</v>
      </c>
    </row>
    <row r="10" spans="1:3" ht="23.25">
      <c r="A10" s="378"/>
      <c r="B10" s="379" t="s">
        <v>229</v>
      </c>
      <c r="C10" s="380">
        <v>144500</v>
      </c>
    </row>
    <row r="11" spans="1:3" ht="23.25">
      <c r="A11" s="378"/>
      <c r="B11" s="379" t="s">
        <v>230</v>
      </c>
      <c r="C11" s="380">
        <v>149500</v>
      </c>
    </row>
    <row r="12" spans="1:3" ht="23.25">
      <c r="A12" s="378"/>
      <c r="B12" s="379" t="s">
        <v>231</v>
      </c>
      <c r="C12" s="380">
        <v>99000</v>
      </c>
    </row>
    <row r="13" spans="1:3" ht="23.25">
      <c r="A13" s="378" t="s">
        <v>96</v>
      </c>
      <c r="B13" s="379"/>
      <c r="C13" s="380"/>
    </row>
    <row r="14" spans="1:3" ht="23.25">
      <c r="A14" s="378"/>
      <c r="B14" s="379" t="s">
        <v>232</v>
      </c>
      <c r="C14" s="380">
        <f>11021233.69-39000</f>
        <v>10982233.69</v>
      </c>
    </row>
    <row r="15" spans="1:3" ht="23.25">
      <c r="A15" s="378"/>
      <c r="B15" s="379" t="s">
        <v>638</v>
      </c>
      <c r="C15" s="380">
        <v>25000</v>
      </c>
    </row>
    <row r="16" spans="1:3" ht="23.25">
      <c r="A16" s="378"/>
      <c r="B16" s="379" t="s">
        <v>637</v>
      </c>
      <c r="C16" s="380">
        <v>7728500</v>
      </c>
    </row>
    <row r="17" spans="1:3" ht="23.25">
      <c r="A17" s="378"/>
      <c r="B17" s="379" t="s">
        <v>234</v>
      </c>
      <c r="C17" s="380">
        <v>102955</v>
      </c>
    </row>
    <row r="18" spans="1:3" ht="23.25">
      <c r="A18" s="378"/>
      <c r="B18" s="379" t="s">
        <v>235</v>
      </c>
      <c r="C18" s="380">
        <v>142969</v>
      </c>
    </row>
    <row r="19" spans="1:3" ht="23.25">
      <c r="A19" s="378"/>
      <c r="B19" s="379" t="s">
        <v>248</v>
      </c>
      <c r="C19" s="380">
        <v>2691380</v>
      </c>
    </row>
    <row r="20" spans="1:3" ht="23.25">
      <c r="A20" s="378"/>
      <c r="B20" s="379" t="s">
        <v>197</v>
      </c>
      <c r="C20" s="380">
        <v>396350</v>
      </c>
    </row>
    <row r="21" spans="1:3" ht="23.25">
      <c r="A21" s="378"/>
      <c r="B21" s="379" t="s">
        <v>246</v>
      </c>
      <c r="C21" s="380">
        <v>130000</v>
      </c>
    </row>
    <row r="22" spans="1:3" ht="23.25">
      <c r="A22" s="378"/>
      <c r="B22" s="379" t="s">
        <v>247</v>
      </c>
      <c r="C22" s="380">
        <v>179790</v>
      </c>
    </row>
    <row r="23" spans="1:3" ht="23.25">
      <c r="A23" s="378"/>
      <c r="B23" s="379" t="s">
        <v>282</v>
      </c>
      <c r="C23" s="380">
        <v>32100</v>
      </c>
    </row>
    <row r="24" spans="1:3" ht="23.25">
      <c r="A24" s="378"/>
      <c r="B24" s="379" t="s">
        <v>233</v>
      </c>
      <c r="C24" s="380">
        <v>174740</v>
      </c>
    </row>
    <row r="25" spans="1:3" ht="23.25">
      <c r="A25" s="378"/>
      <c r="B25" s="379" t="s">
        <v>196</v>
      </c>
      <c r="C25" s="380">
        <v>27800</v>
      </c>
    </row>
    <row r="26" spans="1:3" ht="23.25">
      <c r="A26" s="381"/>
      <c r="B26" s="382" t="s">
        <v>218</v>
      </c>
      <c r="C26" s="383">
        <v>488768.9</v>
      </c>
    </row>
    <row r="27" spans="1:3" ht="24" thickBot="1">
      <c r="A27" s="649" t="s">
        <v>53</v>
      </c>
      <c r="B27" s="649"/>
      <c r="C27" s="384">
        <f>SUM(C8:C26)</f>
        <v>104594330.98</v>
      </c>
    </row>
    <row r="28" ht="24" thickTop="1">
      <c r="C28" s="343"/>
    </row>
    <row r="30" spans="1:3" ht="23.25">
      <c r="A30" s="385" t="s">
        <v>662</v>
      </c>
      <c r="B30" s="385"/>
      <c r="C30" s="385"/>
    </row>
    <row r="31" ht="23.25">
      <c r="B31" s="385"/>
    </row>
    <row r="32" spans="1:3" ht="23.25">
      <c r="A32" s="385" t="s">
        <v>663</v>
      </c>
      <c r="B32" s="385"/>
      <c r="C32" s="385"/>
    </row>
    <row r="33" ht="23.25">
      <c r="B33" s="385"/>
    </row>
    <row r="34" spans="1:3" ht="23.25">
      <c r="A34" s="385" t="s">
        <v>664</v>
      </c>
      <c r="B34" s="385"/>
      <c r="C34" s="385"/>
    </row>
    <row r="35" spans="2:3" ht="23.25">
      <c r="B35" s="385"/>
      <c r="C35" s="385"/>
    </row>
  </sheetData>
  <mergeCells count="5">
    <mergeCell ref="A27:B27"/>
    <mergeCell ref="A1:C1"/>
    <mergeCell ref="A2:C2"/>
    <mergeCell ref="A3:C3"/>
    <mergeCell ref="A5:B5"/>
  </mergeCells>
  <printOptions/>
  <pageMargins left="1.07" right="0.75" top="0.65" bottom="0.66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23"/>
    </sheetView>
  </sheetViews>
  <sheetFormatPr defaultColWidth="9.140625" defaultRowHeight="21.75"/>
  <cols>
    <col min="1" max="1" width="4.57421875" style="0" customWidth="1"/>
    <col min="2" max="2" width="27.8515625" style="0" customWidth="1"/>
    <col min="3" max="3" width="17.57421875" style="0" customWidth="1"/>
    <col min="4" max="4" width="28.421875" style="0" customWidth="1"/>
    <col min="5" max="5" width="19.28125" style="0" customWidth="1"/>
  </cols>
  <sheetData>
    <row r="1" spans="1:5" ht="21.75">
      <c r="A1" s="584" t="s">
        <v>684</v>
      </c>
      <c r="B1" s="584"/>
      <c r="C1" s="584"/>
      <c r="D1" s="584"/>
      <c r="E1" s="584"/>
    </row>
    <row r="2" spans="1:5" ht="21.75">
      <c r="A2" s="584" t="s">
        <v>188</v>
      </c>
      <c r="B2" s="584"/>
      <c r="C2" s="584"/>
      <c r="D2" s="584"/>
      <c r="E2" s="584"/>
    </row>
    <row r="3" spans="1:5" ht="21.75">
      <c r="A3" s="584" t="s">
        <v>656</v>
      </c>
      <c r="B3" s="584"/>
      <c r="C3" s="584"/>
      <c r="D3" s="584"/>
      <c r="E3" s="584"/>
    </row>
    <row r="5" spans="1:5" ht="21.75">
      <c r="A5" s="583" t="s">
        <v>657</v>
      </c>
      <c r="B5" s="583"/>
      <c r="C5" s="226" t="s">
        <v>658</v>
      </c>
      <c r="D5" s="226" t="s">
        <v>659</v>
      </c>
      <c r="E5" s="226" t="s">
        <v>92</v>
      </c>
    </row>
    <row r="6" spans="1:5" ht="21.75">
      <c r="A6" s="349" t="s">
        <v>95</v>
      </c>
      <c r="B6" s="305"/>
      <c r="C6" s="227"/>
      <c r="D6" s="305" t="s">
        <v>98</v>
      </c>
      <c r="E6" s="305">
        <f>58626357.98+206590-39000-45205722.39+169200</f>
        <v>13757425.589999996</v>
      </c>
    </row>
    <row r="7" spans="1:5" ht="21.75">
      <c r="A7" s="248"/>
      <c r="B7" s="350" t="s">
        <v>93</v>
      </c>
      <c r="C7" s="231"/>
      <c r="D7" s="254" t="s">
        <v>99</v>
      </c>
      <c r="E7" s="254">
        <f>7889969-4227000</f>
        <v>3662969</v>
      </c>
    </row>
    <row r="8" spans="1:5" ht="21.75">
      <c r="A8" s="248"/>
      <c r="B8" s="307" t="s">
        <v>94</v>
      </c>
      <c r="C8" s="254">
        <v>15749194</v>
      </c>
      <c r="D8" s="254" t="s">
        <v>100</v>
      </c>
      <c r="E8" s="254">
        <v>680906</v>
      </c>
    </row>
    <row r="9" spans="1:5" ht="21.75">
      <c r="A9" s="248" t="s">
        <v>96</v>
      </c>
      <c r="B9" s="307"/>
      <c r="C9" s="254"/>
      <c r="D9" s="254" t="s">
        <v>101</v>
      </c>
      <c r="E9" s="254">
        <f>94450+15000+7800+620000</f>
        <v>737250</v>
      </c>
    </row>
    <row r="10" spans="2:5" ht="21.75">
      <c r="B10" s="350" t="s">
        <v>232</v>
      </c>
      <c r="C10" s="254">
        <v>11046733.69</v>
      </c>
      <c r="D10" s="254" t="s">
        <v>102</v>
      </c>
      <c r="E10" s="254">
        <f>28508478+4106780+4401000+96000-17591208+4295000</f>
        <v>23816050</v>
      </c>
    </row>
    <row r="11" spans="1:5" ht="21.75">
      <c r="A11" s="248"/>
      <c r="B11" s="307" t="s">
        <v>638</v>
      </c>
      <c r="C11" s="254">
        <v>25000</v>
      </c>
      <c r="D11" s="254"/>
      <c r="E11" s="254"/>
    </row>
    <row r="12" spans="1:5" ht="21.75">
      <c r="A12" s="248"/>
      <c r="B12" s="307" t="s">
        <v>637</v>
      </c>
      <c r="C12" s="254">
        <v>12643500</v>
      </c>
      <c r="D12" s="351"/>
      <c r="E12" s="351"/>
    </row>
    <row r="13" spans="2:5" ht="21.75">
      <c r="B13" s="350" t="s">
        <v>234</v>
      </c>
      <c r="C13" s="254">
        <v>102955</v>
      </c>
      <c r="D13" s="351"/>
      <c r="E13" s="351"/>
    </row>
    <row r="14" spans="1:5" ht="21.75">
      <c r="A14" s="248"/>
      <c r="B14" s="307" t="s">
        <v>235</v>
      </c>
      <c r="C14" s="254">
        <v>142969</v>
      </c>
      <c r="D14" s="351"/>
      <c r="E14" s="351"/>
    </row>
    <row r="15" spans="1:5" ht="21.75">
      <c r="A15" s="248"/>
      <c r="B15" s="307" t="s">
        <v>248</v>
      </c>
      <c r="C15" s="254">
        <v>1443000</v>
      </c>
      <c r="D15" s="351"/>
      <c r="E15" s="351"/>
    </row>
    <row r="16" spans="1:5" ht="21.75">
      <c r="A16" s="248"/>
      <c r="B16" s="307" t="s">
        <v>197</v>
      </c>
      <c r="C16" s="254">
        <v>396350</v>
      </c>
      <c r="D16" s="351"/>
      <c r="E16" s="351"/>
    </row>
    <row r="17" spans="1:5" ht="21.75">
      <c r="A17" s="248"/>
      <c r="B17" s="307" t="s">
        <v>246</v>
      </c>
      <c r="C17" s="254">
        <v>130000</v>
      </c>
      <c r="D17" s="351"/>
      <c r="E17" s="351"/>
    </row>
    <row r="18" spans="1:5" ht="21.75">
      <c r="A18" s="248"/>
      <c r="B18" s="307" t="s">
        <v>247</v>
      </c>
      <c r="C18" s="254">
        <v>179790</v>
      </c>
      <c r="D18" s="351"/>
      <c r="E18" s="351"/>
    </row>
    <row r="19" spans="1:5" ht="21.75">
      <c r="A19" s="248"/>
      <c r="B19" s="307" t="s">
        <v>282</v>
      </c>
      <c r="C19" s="254">
        <v>17100</v>
      </c>
      <c r="D19" s="351"/>
      <c r="E19" s="351"/>
    </row>
    <row r="20" spans="1:5" ht="21.75">
      <c r="A20" s="248"/>
      <c r="B20" s="307" t="s">
        <v>233</v>
      </c>
      <c r="C20" s="254">
        <v>181740</v>
      </c>
      <c r="D20" s="351"/>
      <c r="E20" s="351"/>
    </row>
    <row r="21" spans="1:5" ht="21.75">
      <c r="A21" s="248"/>
      <c r="B21" s="307" t="s">
        <v>196</v>
      </c>
      <c r="C21" s="254">
        <v>27800</v>
      </c>
      <c r="D21" s="351"/>
      <c r="E21" s="351"/>
    </row>
    <row r="22" spans="1:5" ht="21.75">
      <c r="A22" s="248"/>
      <c r="B22" s="309" t="s">
        <v>218</v>
      </c>
      <c r="C22" s="254">
        <v>553468.9</v>
      </c>
      <c r="D22" s="351"/>
      <c r="E22" s="351"/>
    </row>
    <row r="23" spans="1:5" ht="22.5" thickBot="1">
      <c r="A23" s="582" t="s">
        <v>53</v>
      </c>
      <c r="B23" s="582"/>
      <c r="C23" s="352">
        <f>SUM(C8:C22)</f>
        <v>42639600.589999996</v>
      </c>
      <c r="D23" s="352"/>
      <c r="E23" s="352">
        <f>SUM(E6:E22)</f>
        <v>42654600.589999996</v>
      </c>
    </row>
    <row r="24" spans="3:5" ht="22.5" thickTop="1">
      <c r="C24" s="348"/>
      <c r="D24" s="348"/>
      <c r="E24" s="348"/>
    </row>
    <row r="27" spans="2:4" ht="21.75">
      <c r="B27" s="650" t="s">
        <v>660</v>
      </c>
      <c r="C27" s="650"/>
      <c r="D27" t="s">
        <v>195</v>
      </c>
    </row>
    <row r="29" spans="2:4" ht="21.75">
      <c r="B29" s="650" t="s">
        <v>660</v>
      </c>
      <c r="C29" s="650"/>
      <c r="D29" t="s">
        <v>254</v>
      </c>
    </row>
    <row r="31" spans="2:4" ht="21.75">
      <c r="B31" s="650" t="s">
        <v>660</v>
      </c>
      <c r="C31" s="650"/>
      <c r="D31" t="s">
        <v>661</v>
      </c>
    </row>
  </sheetData>
  <mergeCells count="8">
    <mergeCell ref="A5:B5"/>
    <mergeCell ref="A1:E1"/>
    <mergeCell ref="A2:E2"/>
    <mergeCell ref="A3:E3"/>
    <mergeCell ref="B27:C27"/>
    <mergeCell ref="B29:C29"/>
    <mergeCell ref="B31:C31"/>
    <mergeCell ref="A23:B23"/>
  </mergeCells>
  <printOptions/>
  <pageMargins left="0.78" right="0.34" top="0.43" bottom="0.43" header="0.34" footer="0.2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3" sqref="F13"/>
    </sheetView>
  </sheetViews>
  <sheetFormatPr defaultColWidth="9.140625" defaultRowHeight="21.75"/>
  <cols>
    <col min="1" max="1" width="3.7109375" style="250" customWidth="1"/>
    <col min="2" max="2" width="34.140625" style="258" customWidth="1"/>
    <col min="3" max="4" width="15.7109375" style="258" customWidth="1"/>
    <col min="5" max="5" width="13.7109375" style="258" customWidth="1"/>
    <col min="6" max="6" width="15.7109375" style="258" customWidth="1"/>
    <col min="7" max="7" width="34.00390625" style="258" customWidth="1"/>
    <col min="8" max="8" width="15.7109375" style="258" customWidth="1"/>
    <col min="9" max="16384" width="9.140625" style="250" customWidth="1"/>
  </cols>
  <sheetData>
    <row r="1" spans="1:8" ht="18">
      <c r="A1" s="651" t="s">
        <v>684</v>
      </c>
      <c r="B1" s="651"/>
      <c r="C1" s="651"/>
      <c r="D1" s="651"/>
      <c r="E1" s="651"/>
      <c r="F1" s="651"/>
      <c r="G1" s="651"/>
      <c r="H1" s="651"/>
    </row>
    <row r="2" spans="1:8" ht="18">
      <c r="A2" s="651" t="s">
        <v>188</v>
      </c>
      <c r="B2" s="651"/>
      <c r="C2" s="651"/>
      <c r="D2" s="651"/>
      <c r="E2" s="651"/>
      <c r="F2" s="651"/>
      <c r="G2" s="651"/>
      <c r="H2" s="651"/>
    </row>
    <row r="3" spans="1:8" ht="18">
      <c r="A3" s="651" t="s">
        <v>682</v>
      </c>
      <c r="B3" s="651"/>
      <c r="C3" s="651"/>
      <c r="D3" s="651"/>
      <c r="E3" s="651"/>
      <c r="F3" s="651"/>
      <c r="G3" s="651"/>
      <c r="H3" s="651"/>
    </row>
    <row r="4" spans="1:8" s="252" customFormat="1" ht="18">
      <c r="A4" s="652" t="s">
        <v>83</v>
      </c>
      <c r="B4" s="652"/>
      <c r="C4" s="301" t="s">
        <v>84</v>
      </c>
      <c r="D4" s="301" t="s">
        <v>86</v>
      </c>
      <c r="E4" s="301" t="s">
        <v>88</v>
      </c>
      <c r="F4" s="301" t="s">
        <v>89</v>
      </c>
      <c r="G4" s="652" t="s">
        <v>91</v>
      </c>
      <c r="H4" s="652" t="s">
        <v>92</v>
      </c>
    </row>
    <row r="5" spans="1:8" s="252" customFormat="1" ht="18">
      <c r="A5" s="653"/>
      <c r="B5" s="653"/>
      <c r="C5" s="302" t="s">
        <v>85</v>
      </c>
      <c r="D5" s="302" t="s">
        <v>87</v>
      </c>
      <c r="E5" s="302" t="s">
        <v>87</v>
      </c>
      <c r="F5" s="302" t="s">
        <v>90</v>
      </c>
      <c r="G5" s="653"/>
      <c r="H5" s="653"/>
    </row>
    <row r="6" spans="1:8" ht="18">
      <c r="A6" s="303" t="s">
        <v>95</v>
      </c>
      <c r="B6" s="304"/>
      <c r="C6" s="305"/>
      <c r="D6" s="305"/>
      <c r="E6" s="305"/>
      <c r="F6" s="305"/>
      <c r="G6" s="305" t="s">
        <v>98</v>
      </c>
      <c r="H6" s="305">
        <f>58626357.98+206590-39000-45205722.39+169200</f>
        <v>13757425.589999996</v>
      </c>
    </row>
    <row r="7" spans="1:8" ht="18">
      <c r="A7" s="306"/>
      <c r="B7" s="307" t="s">
        <v>93</v>
      </c>
      <c r="C7" s="254"/>
      <c r="D7" s="254"/>
      <c r="E7" s="254"/>
      <c r="F7" s="254"/>
      <c r="G7" s="254" t="s">
        <v>99</v>
      </c>
      <c r="H7" s="254">
        <f>7889969-4227000</f>
        <v>3662969</v>
      </c>
    </row>
    <row r="8" spans="1:8" ht="18">
      <c r="A8" s="306"/>
      <c r="B8" s="307" t="s">
        <v>94</v>
      </c>
      <c r="C8" s="254">
        <f>15674194+75000</f>
        <v>15749194</v>
      </c>
      <c r="D8" s="254"/>
      <c r="E8" s="254"/>
      <c r="F8" s="254">
        <f>C8+D8</f>
        <v>15749194</v>
      </c>
      <c r="G8" s="254" t="s">
        <v>100</v>
      </c>
      <c r="H8" s="254">
        <v>680906</v>
      </c>
    </row>
    <row r="9" spans="1:8" ht="18">
      <c r="A9" s="306" t="s">
        <v>96</v>
      </c>
      <c r="B9" s="307"/>
      <c r="C9" s="248"/>
      <c r="D9" s="248"/>
      <c r="E9" s="248"/>
      <c r="F9" s="254"/>
      <c r="G9" s="254" t="s">
        <v>101</v>
      </c>
      <c r="H9" s="254">
        <f>94450+15000+7800+620000</f>
        <v>737250</v>
      </c>
    </row>
    <row r="10" spans="1:8" ht="18">
      <c r="A10" s="306"/>
      <c r="B10" s="307" t="s">
        <v>232</v>
      </c>
      <c r="C10" s="254">
        <v>10982233.69</v>
      </c>
      <c r="D10" s="254">
        <v>64500</v>
      </c>
      <c r="E10" s="254"/>
      <c r="F10" s="254">
        <f aca="true" t="shared" si="0" ref="F10:F18">C10+D10</f>
        <v>11046733.69</v>
      </c>
      <c r="G10" s="254" t="s">
        <v>102</v>
      </c>
      <c r="H10" s="254">
        <f>28508478+4106780+4401000+96000-17591208+4295000</f>
        <v>23816050</v>
      </c>
    </row>
    <row r="11" spans="1:8" ht="18">
      <c r="A11" s="306"/>
      <c r="B11" s="307" t="s">
        <v>638</v>
      </c>
      <c r="C11" s="254">
        <v>25000</v>
      </c>
      <c r="D11" s="254"/>
      <c r="E11" s="254"/>
      <c r="F11" s="254">
        <f t="shared" si="0"/>
        <v>25000</v>
      </c>
      <c r="G11" s="254"/>
      <c r="H11" s="254"/>
    </row>
    <row r="12" spans="1:8" ht="18">
      <c r="A12" s="306"/>
      <c r="B12" s="307" t="s">
        <v>637</v>
      </c>
      <c r="C12" s="254">
        <f>6925000+740500+63000</f>
        <v>7728500</v>
      </c>
      <c r="D12" s="254">
        <f>1997000+2298000+620000</f>
        <v>4915000</v>
      </c>
      <c r="E12" s="254"/>
      <c r="F12" s="254">
        <f t="shared" si="0"/>
        <v>12643500</v>
      </c>
      <c r="G12" s="254"/>
      <c r="H12" s="254"/>
    </row>
    <row r="13" spans="1:8" ht="18">
      <c r="A13" s="306"/>
      <c r="B13" s="307" t="s">
        <v>234</v>
      </c>
      <c r="C13" s="254">
        <v>102955</v>
      </c>
      <c r="D13" s="254"/>
      <c r="E13" s="254"/>
      <c r="F13" s="254">
        <f t="shared" si="0"/>
        <v>102955</v>
      </c>
      <c r="G13" s="254"/>
      <c r="H13" s="254"/>
    </row>
    <row r="14" spans="1:8" ht="18">
      <c r="A14" s="306"/>
      <c r="B14" s="307" t="s">
        <v>235</v>
      </c>
      <c r="C14" s="254">
        <v>142969</v>
      </c>
      <c r="D14" s="254"/>
      <c r="E14" s="254"/>
      <c r="F14" s="254">
        <f t="shared" si="0"/>
        <v>142969</v>
      </c>
      <c r="G14" s="254"/>
      <c r="H14" s="254"/>
    </row>
    <row r="15" spans="1:8" ht="18">
      <c r="A15" s="306"/>
      <c r="B15" s="307" t="s">
        <v>248</v>
      </c>
      <c r="C15" s="254">
        <f>1410000</f>
        <v>1410000</v>
      </c>
      <c r="D15" s="254">
        <v>33000</v>
      </c>
      <c r="E15" s="254"/>
      <c r="F15" s="254">
        <f t="shared" si="0"/>
        <v>1443000</v>
      </c>
      <c r="G15" s="254"/>
      <c r="H15" s="254"/>
    </row>
    <row r="16" spans="1:8" ht="18">
      <c r="A16" s="306"/>
      <c r="B16" s="307" t="s">
        <v>197</v>
      </c>
      <c r="C16" s="254">
        <v>396350</v>
      </c>
      <c r="D16" s="254"/>
      <c r="E16" s="254"/>
      <c r="F16" s="254">
        <f t="shared" si="0"/>
        <v>396350</v>
      </c>
      <c r="G16" s="254"/>
      <c r="H16" s="254"/>
    </row>
    <row r="17" spans="1:8" ht="18">
      <c r="A17" s="306"/>
      <c r="B17" s="307" t="s">
        <v>246</v>
      </c>
      <c r="C17" s="254">
        <v>130000</v>
      </c>
      <c r="D17" s="254"/>
      <c r="E17" s="254"/>
      <c r="F17" s="254">
        <f t="shared" si="0"/>
        <v>130000</v>
      </c>
      <c r="G17" s="254"/>
      <c r="H17" s="254"/>
    </row>
    <row r="18" spans="1:8" ht="18">
      <c r="A18" s="306"/>
      <c r="B18" s="307" t="s">
        <v>247</v>
      </c>
      <c r="C18" s="254">
        <f>19790+160000</f>
        <v>179790</v>
      </c>
      <c r="D18" s="254"/>
      <c r="E18" s="254"/>
      <c r="F18" s="254">
        <f t="shared" si="0"/>
        <v>179790</v>
      </c>
      <c r="G18" s="254"/>
      <c r="H18" s="254"/>
    </row>
    <row r="19" spans="1:8" ht="18">
      <c r="A19" s="306"/>
      <c r="B19" s="307" t="s">
        <v>282</v>
      </c>
      <c r="C19" s="254">
        <v>32100</v>
      </c>
      <c r="D19" s="254"/>
      <c r="E19" s="254"/>
      <c r="F19" s="254">
        <f>17100+D19</f>
        <v>17100</v>
      </c>
      <c r="G19" s="254"/>
      <c r="H19" s="254"/>
    </row>
    <row r="20" spans="1:8" ht="18">
      <c r="A20" s="306"/>
      <c r="B20" s="307" t="s">
        <v>233</v>
      </c>
      <c r="C20" s="254">
        <v>174740</v>
      </c>
      <c r="D20" s="254">
        <v>7000</v>
      </c>
      <c r="E20" s="254"/>
      <c r="F20" s="254">
        <f>C20+D20</f>
        <v>181740</v>
      </c>
      <c r="G20" s="254"/>
      <c r="H20" s="254"/>
    </row>
    <row r="21" spans="1:8" ht="18">
      <c r="A21" s="306"/>
      <c r="B21" s="307" t="s">
        <v>196</v>
      </c>
      <c r="C21" s="254">
        <v>27800</v>
      </c>
      <c r="D21" s="254"/>
      <c r="E21" s="254"/>
      <c r="F21" s="254">
        <f>C21+D21</f>
        <v>27800</v>
      </c>
      <c r="G21" s="254"/>
      <c r="H21" s="254"/>
    </row>
    <row r="22" spans="1:8" ht="18">
      <c r="A22" s="308"/>
      <c r="B22" s="309" t="s">
        <v>218</v>
      </c>
      <c r="C22" s="254">
        <f>488768.9</f>
        <v>488768.9</v>
      </c>
      <c r="D22" s="254">
        <v>64700</v>
      </c>
      <c r="E22" s="254"/>
      <c r="F22" s="254">
        <f>C22+D22</f>
        <v>553468.9</v>
      </c>
      <c r="G22" s="254"/>
      <c r="H22" s="254"/>
    </row>
    <row r="23" spans="1:8" ht="18.75" thickBot="1">
      <c r="A23" s="654" t="s">
        <v>53</v>
      </c>
      <c r="B23" s="655"/>
      <c r="C23" s="259">
        <f>SUM(C6:C22)</f>
        <v>37570400.589999996</v>
      </c>
      <c r="D23" s="259">
        <f>SUM(D6:D22)</f>
        <v>5084200</v>
      </c>
      <c r="E23" s="259"/>
      <c r="F23" s="259">
        <f>SUM(F8:F22)</f>
        <v>42639600.589999996</v>
      </c>
      <c r="G23" s="259"/>
      <c r="H23" s="259">
        <f>SUM(H6:H21)</f>
        <v>42654600.589999996</v>
      </c>
    </row>
    <row r="24" spans="1:8" ht="18.75" thickTop="1">
      <c r="A24" s="260"/>
      <c r="B24" s="260"/>
      <c r="C24" s="262"/>
      <c r="D24" s="262"/>
      <c r="E24" s="262"/>
      <c r="F24" s="262"/>
      <c r="G24" s="262"/>
      <c r="H24" s="262"/>
    </row>
    <row r="25" spans="1:8" ht="18">
      <c r="A25" s="260"/>
      <c r="B25" s="260"/>
      <c r="C25" s="262"/>
      <c r="D25" s="262"/>
      <c r="E25" s="262"/>
      <c r="F25" s="262"/>
      <c r="G25" s="262"/>
      <c r="H25" s="262"/>
    </row>
    <row r="26" spans="1:8" ht="18">
      <c r="A26" s="260"/>
      <c r="B26" s="260"/>
      <c r="C26" s="262"/>
      <c r="D26" s="262"/>
      <c r="E26" s="262"/>
      <c r="F26" s="262"/>
      <c r="G26" s="262"/>
      <c r="H26" s="262"/>
    </row>
    <row r="28" spans="1:8" ht="18">
      <c r="A28" s="629"/>
      <c r="B28" s="629"/>
      <c r="C28" s="629"/>
      <c r="D28" s="252"/>
      <c r="E28" s="252"/>
      <c r="F28" s="252"/>
      <c r="G28" s="252"/>
      <c r="H28" s="252"/>
    </row>
    <row r="29" spans="1:8" ht="18">
      <c r="A29" s="629"/>
      <c r="B29" s="629"/>
      <c r="C29" s="629"/>
      <c r="D29" s="252"/>
      <c r="E29" s="252"/>
      <c r="F29" s="252"/>
      <c r="G29" s="252"/>
      <c r="H29" s="252"/>
    </row>
    <row r="30" spans="1:8" ht="18">
      <c r="A30" s="629"/>
      <c r="B30" s="629"/>
      <c r="C30" s="629"/>
      <c r="D30" s="252"/>
      <c r="E30" s="252"/>
      <c r="F30" s="252"/>
      <c r="G30" s="252"/>
      <c r="H30" s="252"/>
    </row>
    <row r="31" spans="1:8" ht="18">
      <c r="A31" s="252"/>
      <c r="B31" s="252"/>
      <c r="C31" s="252"/>
      <c r="D31" s="252"/>
      <c r="E31" s="252"/>
      <c r="F31" s="252"/>
      <c r="G31" s="252"/>
      <c r="H31" s="252"/>
    </row>
    <row r="32" spans="1:8" ht="18">
      <c r="A32" s="252"/>
      <c r="B32" s="252"/>
      <c r="C32" s="252"/>
      <c r="D32" s="252"/>
      <c r="E32" s="252"/>
      <c r="F32" s="252"/>
      <c r="G32" s="252"/>
      <c r="H32" s="252"/>
    </row>
    <row r="33" spans="1:8" ht="18">
      <c r="A33" s="252"/>
      <c r="B33" s="252"/>
      <c r="C33" s="252"/>
      <c r="D33" s="252"/>
      <c r="E33" s="252"/>
      <c r="F33" s="252"/>
      <c r="G33" s="252"/>
      <c r="H33" s="252"/>
    </row>
    <row r="34" spans="1:8" ht="18">
      <c r="A34" s="252"/>
      <c r="B34" s="252"/>
      <c r="C34" s="252"/>
      <c r="D34" s="252"/>
      <c r="E34" s="252"/>
      <c r="F34" s="252"/>
      <c r="G34" s="252"/>
      <c r="H34" s="252"/>
    </row>
    <row r="35" spans="1:8" ht="18">
      <c r="A35" s="252"/>
      <c r="B35" s="252"/>
      <c r="C35" s="252"/>
      <c r="D35" s="252"/>
      <c r="E35" s="252"/>
      <c r="F35" s="252"/>
      <c r="G35" s="252"/>
      <c r="H35" s="252"/>
    </row>
    <row r="36" spans="1:8" ht="18">
      <c r="A36" s="252"/>
      <c r="B36" s="252"/>
      <c r="C36" s="252"/>
      <c r="D36" s="252"/>
      <c r="E36" s="252"/>
      <c r="F36" s="252"/>
      <c r="G36" s="252"/>
      <c r="H36" s="252"/>
    </row>
    <row r="37" spans="1:8" ht="18">
      <c r="A37" s="252"/>
      <c r="B37" s="252"/>
      <c r="C37" s="252"/>
      <c r="D37" s="252"/>
      <c r="E37" s="252"/>
      <c r="F37" s="252"/>
      <c r="G37" s="252"/>
      <c r="H37" s="252"/>
    </row>
    <row r="38" spans="1:8" ht="18">
      <c r="A38" s="629"/>
      <c r="B38" s="629"/>
      <c r="C38" s="629"/>
      <c r="D38" s="629"/>
      <c r="E38" s="629"/>
      <c r="F38" s="629"/>
      <c r="G38" s="629"/>
      <c r="H38" s="629"/>
    </row>
    <row r="39" ht="18">
      <c r="I39" s="290"/>
    </row>
    <row r="40" spans="1:8" ht="18">
      <c r="A40" s="629"/>
      <c r="B40" s="629"/>
      <c r="C40" s="629"/>
      <c r="D40" s="629"/>
      <c r="E40" s="629"/>
      <c r="F40" s="629"/>
      <c r="G40" s="629"/>
      <c r="H40" s="629"/>
    </row>
    <row r="41" spans="1:8" ht="18">
      <c r="A41" s="629"/>
      <c r="B41" s="629"/>
      <c r="C41" s="629"/>
      <c r="D41" s="629"/>
      <c r="E41" s="629"/>
      <c r="F41" s="629"/>
      <c r="G41" s="629"/>
      <c r="H41" s="629"/>
    </row>
    <row r="42" spans="1:8" ht="18">
      <c r="A42" s="629"/>
      <c r="B42" s="629"/>
      <c r="C42" s="629"/>
      <c r="D42" s="629"/>
      <c r="E42" s="629"/>
      <c r="F42" s="629"/>
      <c r="G42" s="629"/>
      <c r="H42" s="629"/>
    </row>
    <row r="43" spans="1:8" ht="18">
      <c r="A43" s="629"/>
      <c r="B43" s="629"/>
      <c r="C43" s="629"/>
      <c r="D43" s="629"/>
      <c r="E43" s="629"/>
      <c r="F43" s="629"/>
      <c r="G43" s="629"/>
      <c r="H43" s="629"/>
    </row>
  </sheetData>
  <mergeCells count="15">
    <mergeCell ref="A30:C30"/>
    <mergeCell ref="A42:H42"/>
    <mergeCell ref="A43:H43"/>
    <mergeCell ref="A38:H38"/>
    <mergeCell ref="A40:H40"/>
    <mergeCell ref="A41:H41"/>
    <mergeCell ref="A23:B23"/>
    <mergeCell ref="H4:H5"/>
    <mergeCell ref="A28:C28"/>
    <mergeCell ref="A29:C29"/>
    <mergeCell ref="A1:H1"/>
    <mergeCell ref="A2:H2"/>
    <mergeCell ref="A3:H3"/>
    <mergeCell ref="A4:B5"/>
    <mergeCell ref="G4:G5"/>
  </mergeCells>
  <printOptions/>
  <pageMargins left="0.5511811023622047" right="0.4724409448818898" top="0.13" bottom="0.14" header="0.23" footer="0.14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A25" sqref="A25"/>
    </sheetView>
  </sheetViews>
  <sheetFormatPr defaultColWidth="9.140625" defaultRowHeight="21.75"/>
  <cols>
    <col min="1" max="1" width="42.140625" style="19" customWidth="1"/>
    <col min="2" max="2" width="6.7109375" style="19" customWidth="1"/>
    <col min="3" max="3" width="14.7109375" style="19" customWidth="1"/>
    <col min="4" max="4" width="14.28125" style="19" customWidth="1"/>
    <col min="5" max="5" width="12.00390625" style="19" customWidth="1"/>
    <col min="6" max="6" width="12.140625" style="19" customWidth="1"/>
    <col min="7" max="7" width="13.57421875" style="19" customWidth="1"/>
    <col min="8" max="8" width="12.8515625" style="19" customWidth="1"/>
    <col min="9" max="9" width="13.57421875" style="19" customWidth="1"/>
    <col min="10" max="10" width="14.00390625" style="19" customWidth="1"/>
    <col min="11" max="11" width="13.7109375" style="19" customWidth="1"/>
    <col min="12" max="16384" width="9.140625" style="19" customWidth="1"/>
  </cols>
  <sheetData>
    <row r="1" spans="1:10" ht="21">
      <c r="A1" s="618" t="s">
        <v>684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0" ht="21">
      <c r="A2" s="618" t="s">
        <v>103</v>
      </c>
      <c r="B2" s="618"/>
      <c r="C2" s="618"/>
      <c r="D2" s="618"/>
      <c r="E2" s="618"/>
      <c r="F2" s="618"/>
      <c r="G2" s="618"/>
      <c r="H2" s="618"/>
      <c r="I2" s="618"/>
      <c r="J2" s="618"/>
    </row>
    <row r="3" spans="1:10" ht="21">
      <c r="A3" s="618" t="s">
        <v>792</v>
      </c>
      <c r="B3" s="618"/>
      <c r="C3" s="618"/>
      <c r="D3" s="618"/>
      <c r="E3" s="618"/>
      <c r="F3" s="618"/>
      <c r="G3" s="618"/>
      <c r="H3" s="618"/>
      <c r="I3" s="618"/>
      <c r="J3" s="618"/>
    </row>
    <row r="4" spans="1:10" s="225" customFormat="1" ht="21">
      <c r="A4" s="657" t="s">
        <v>4</v>
      </c>
      <c r="B4" s="657" t="s">
        <v>47</v>
      </c>
      <c r="C4" s="656" t="s">
        <v>46</v>
      </c>
      <c r="D4" s="656"/>
      <c r="E4" s="656" t="s">
        <v>104</v>
      </c>
      <c r="F4" s="656"/>
      <c r="G4" s="656" t="s">
        <v>105</v>
      </c>
      <c r="H4" s="656"/>
      <c r="I4" s="656" t="s">
        <v>80</v>
      </c>
      <c r="J4" s="656"/>
    </row>
    <row r="5" spans="1:10" s="225" customFormat="1" ht="21">
      <c r="A5" s="658"/>
      <c r="B5" s="658"/>
      <c r="C5" s="33" t="s">
        <v>48</v>
      </c>
      <c r="D5" s="33" t="s">
        <v>49</v>
      </c>
      <c r="E5" s="33" t="s">
        <v>48</v>
      </c>
      <c r="F5" s="33" t="s">
        <v>49</v>
      </c>
      <c r="G5" s="33" t="s">
        <v>48</v>
      </c>
      <c r="H5" s="33" t="s">
        <v>49</v>
      </c>
      <c r="I5" s="33" t="s">
        <v>81</v>
      </c>
      <c r="J5" s="33" t="s">
        <v>106</v>
      </c>
    </row>
    <row r="6" spans="1:10" ht="21">
      <c r="A6" s="237" t="s">
        <v>236</v>
      </c>
      <c r="B6" s="237"/>
      <c r="C6" s="23">
        <v>48401863.86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f>C6</f>
        <v>48401863.86</v>
      </c>
      <c r="J6" s="23">
        <v>0</v>
      </c>
    </row>
    <row r="7" spans="1:10" ht="21">
      <c r="A7" s="237" t="s">
        <v>666</v>
      </c>
      <c r="B7" s="237"/>
      <c r="C7" s="23">
        <v>23000000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f>C7</f>
        <v>23000000</v>
      </c>
      <c r="J7" s="23">
        <v>0</v>
      </c>
    </row>
    <row r="8" spans="1:10" ht="21">
      <c r="A8" s="237" t="s">
        <v>50</v>
      </c>
      <c r="B8" s="237"/>
      <c r="C8" s="23">
        <v>662434.56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f>C8</f>
        <v>662434.56</v>
      </c>
      <c r="J8" s="23">
        <v>0</v>
      </c>
    </row>
    <row r="9" spans="1:10" ht="21">
      <c r="A9" s="237" t="s">
        <v>297</v>
      </c>
      <c r="B9" s="237"/>
      <c r="C9" s="23">
        <v>70740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f>C9+E9-F9</f>
        <v>70740</v>
      </c>
      <c r="J9" s="23">
        <v>0</v>
      </c>
    </row>
    <row r="10" spans="1:10" ht="21">
      <c r="A10" s="237" t="s">
        <v>209</v>
      </c>
      <c r="B10" s="237"/>
      <c r="C10" s="23">
        <v>4122.61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f>C10+E10-F10</f>
        <v>4122.61</v>
      </c>
      <c r="J10" s="23">
        <v>0</v>
      </c>
    </row>
    <row r="11" spans="1:10" ht="21">
      <c r="A11" s="237" t="s">
        <v>54</v>
      </c>
      <c r="B11" s="237"/>
      <c r="C11" s="23">
        <v>476600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f>C11</f>
        <v>476600</v>
      </c>
      <c r="J11" s="23">
        <v>0</v>
      </c>
    </row>
    <row r="12" spans="1:10" ht="21">
      <c r="A12" s="237" t="s">
        <v>28</v>
      </c>
      <c r="B12" s="237"/>
      <c r="C12" s="23">
        <v>3547283.25</v>
      </c>
      <c r="D12" s="23">
        <v>0</v>
      </c>
      <c r="E12" s="23">
        <v>0</v>
      </c>
      <c r="F12" s="23">
        <v>0</v>
      </c>
      <c r="G12" s="23">
        <v>0</v>
      </c>
      <c r="H12" s="23">
        <f aca="true" t="shared" si="0" ref="H12:H27">C12</f>
        <v>3547283.25</v>
      </c>
      <c r="I12" s="23">
        <v>0</v>
      </c>
      <c r="J12" s="23">
        <v>0</v>
      </c>
    </row>
    <row r="13" spans="1:10" ht="21">
      <c r="A13" s="237" t="s">
        <v>616</v>
      </c>
      <c r="B13" s="239"/>
      <c r="C13" s="23">
        <v>14072100</v>
      </c>
      <c r="D13" s="23"/>
      <c r="E13" s="23"/>
      <c r="F13" s="23"/>
      <c r="G13" s="23"/>
      <c r="H13" s="23">
        <f t="shared" si="0"/>
        <v>14072100</v>
      </c>
      <c r="I13" s="23"/>
      <c r="J13" s="23"/>
    </row>
    <row r="14" spans="1:10" ht="21">
      <c r="A14" s="237" t="s">
        <v>617</v>
      </c>
      <c r="B14" s="239"/>
      <c r="C14" s="23">
        <v>1462500</v>
      </c>
      <c r="D14" s="23"/>
      <c r="E14" s="23"/>
      <c r="F14" s="23"/>
      <c r="G14" s="23"/>
      <c r="H14" s="23">
        <f t="shared" si="0"/>
        <v>1462500</v>
      </c>
      <c r="I14" s="23"/>
      <c r="J14" s="23"/>
    </row>
    <row r="15" spans="1:10" ht="21">
      <c r="A15" s="237" t="s">
        <v>56</v>
      </c>
      <c r="B15" s="237"/>
      <c r="C15" s="23">
        <v>5774533.39</v>
      </c>
      <c r="D15" s="23">
        <v>0</v>
      </c>
      <c r="E15" s="23">
        <v>0</v>
      </c>
      <c r="F15" s="23">
        <v>0</v>
      </c>
      <c r="G15" s="23">
        <v>0</v>
      </c>
      <c r="H15" s="23">
        <f t="shared" si="0"/>
        <v>5774533.39</v>
      </c>
      <c r="I15" s="23">
        <v>0</v>
      </c>
      <c r="J15" s="23">
        <v>0</v>
      </c>
    </row>
    <row r="16" spans="1:10" ht="21">
      <c r="A16" s="237" t="s">
        <v>203</v>
      </c>
      <c r="B16" s="237"/>
      <c r="C16" s="23">
        <v>3380229.31</v>
      </c>
      <c r="D16" s="23">
        <v>0</v>
      </c>
      <c r="E16" s="23">
        <v>0</v>
      </c>
      <c r="F16" s="23">
        <v>0</v>
      </c>
      <c r="G16" s="23">
        <v>0</v>
      </c>
      <c r="H16" s="23">
        <f t="shared" si="0"/>
        <v>3380229.31</v>
      </c>
      <c r="I16" s="23">
        <v>0</v>
      </c>
      <c r="J16" s="23">
        <v>0</v>
      </c>
    </row>
    <row r="17" spans="1:10" ht="21">
      <c r="A17" s="248" t="s">
        <v>793</v>
      </c>
      <c r="B17" s="239"/>
      <c r="C17" s="23">
        <v>490566</v>
      </c>
      <c r="D17" s="23"/>
      <c r="E17" s="23"/>
      <c r="F17" s="23"/>
      <c r="G17" s="23"/>
      <c r="H17" s="23">
        <f t="shared" si="0"/>
        <v>490566</v>
      </c>
      <c r="I17" s="23"/>
      <c r="J17" s="23"/>
    </row>
    <row r="18" spans="1:10" ht="21">
      <c r="A18" s="237" t="s">
        <v>30</v>
      </c>
      <c r="B18" s="237"/>
      <c r="C18" s="23">
        <v>4747538.75</v>
      </c>
      <c r="D18" s="23">
        <v>0</v>
      </c>
      <c r="E18" s="23">
        <v>0</v>
      </c>
      <c r="F18" s="23">
        <v>0</v>
      </c>
      <c r="G18" s="23">
        <v>0</v>
      </c>
      <c r="H18" s="23">
        <f t="shared" si="0"/>
        <v>4747538.75</v>
      </c>
      <c r="I18" s="23">
        <v>0</v>
      </c>
      <c r="J18" s="23">
        <v>0</v>
      </c>
    </row>
    <row r="19" spans="1:10" ht="21">
      <c r="A19" s="237" t="s">
        <v>31</v>
      </c>
      <c r="B19" s="237"/>
      <c r="C19" s="23">
        <f>8470771.33+920</f>
        <v>8471691.33</v>
      </c>
      <c r="D19" s="23">
        <v>0</v>
      </c>
      <c r="E19" s="23">
        <v>0</v>
      </c>
      <c r="F19" s="23">
        <v>0</v>
      </c>
      <c r="G19" s="23">
        <v>0</v>
      </c>
      <c r="H19" s="23">
        <f t="shared" si="0"/>
        <v>8471691.33</v>
      </c>
      <c r="I19" s="23">
        <v>0</v>
      </c>
      <c r="J19" s="23">
        <v>0</v>
      </c>
    </row>
    <row r="20" spans="1:10" ht="21">
      <c r="A20" s="248" t="s">
        <v>671</v>
      </c>
      <c r="B20" s="239"/>
      <c r="C20" s="23">
        <v>10000</v>
      </c>
      <c r="D20" s="23"/>
      <c r="E20" s="23"/>
      <c r="F20" s="23"/>
      <c r="G20" s="23"/>
      <c r="H20" s="23">
        <f t="shared" si="0"/>
        <v>10000</v>
      </c>
      <c r="I20" s="23"/>
      <c r="J20" s="23"/>
    </row>
    <row r="21" spans="1:10" ht="21">
      <c r="A21" s="248" t="s">
        <v>672</v>
      </c>
      <c r="B21" s="237"/>
      <c r="C21" s="23">
        <v>131500</v>
      </c>
      <c r="D21" s="23">
        <v>0</v>
      </c>
      <c r="E21" s="23">
        <v>0</v>
      </c>
      <c r="F21" s="23">
        <v>0</v>
      </c>
      <c r="G21" s="23">
        <v>0</v>
      </c>
      <c r="H21" s="23">
        <f t="shared" si="0"/>
        <v>131500</v>
      </c>
      <c r="I21" s="23">
        <v>0</v>
      </c>
      <c r="J21" s="23">
        <v>0</v>
      </c>
    </row>
    <row r="22" spans="1:10" ht="21">
      <c r="A22" s="237" t="s">
        <v>32</v>
      </c>
      <c r="B22" s="239"/>
      <c r="C22" s="23">
        <v>3802666.84</v>
      </c>
      <c r="D22" s="23"/>
      <c r="E22" s="23"/>
      <c r="F22" s="23"/>
      <c r="G22" s="23"/>
      <c r="H22" s="23">
        <f t="shared" si="0"/>
        <v>3802666.84</v>
      </c>
      <c r="I22" s="23"/>
      <c r="J22" s="23"/>
    </row>
    <row r="23" spans="1:10" ht="21">
      <c r="A23" s="237" t="s">
        <v>673</v>
      </c>
      <c r="B23" s="237"/>
      <c r="C23" s="23">
        <v>50600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0"/>
        <v>50600</v>
      </c>
      <c r="I23" s="23">
        <v>0</v>
      </c>
      <c r="J23" s="23">
        <v>0</v>
      </c>
    </row>
    <row r="24" spans="1:10" ht="21">
      <c r="A24" s="237" t="s">
        <v>33</v>
      </c>
      <c r="B24" s="237"/>
      <c r="C24" s="23">
        <v>310177.67</v>
      </c>
      <c r="D24" s="23">
        <v>0</v>
      </c>
      <c r="E24" s="23">
        <v>0</v>
      </c>
      <c r="F24" s="23">
        <v>0</v>
      </c>
      <c r="G24" s="23">
        <v>0</v>
      </c>
      <c r="H24" s="23">
        <f t="shared" si="0"/>
        <v>310177.67</v>
      </c>
      <c r="I24" s="23">
        <v>0</v>
      </c>
      <c r="J24" s="23">
        <v>0</v>
      </c>
    </row>
    <row r="25" spans="1:10" ht="21">
      <c r="A25" s="237" t="s">
        <v>16</v>
      </c>
      <c r="B25" s="237"/>
      <c r="C25" s="23">
        <v>2066890.44</v>
      </c>
      <c r="D25" s="20"/>
      <c r="E25" s="20"/>
      <c r="F25" s="20"/>
      <c r="G25" s="20"/>
      <c r="H25" s="20">
        <f t="shared" si="0"/>
        <v>2066890.44</v>
      </c>
      <c r="I25" s="20"/>
      <c r="J25" s="20"/>
    </row>
    <row r="26" spans="1:10" ht="21">
      <c r="A26" s="237" t="s">
        <v>34</v>
      </c>
      <c r="B26" s="239"/>
      <c r="C26" s="23">
        <v>169200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0"/>
        <v>169200</v>
      </c>
      <c r="I26" s="23">
        <v>0</v>
      </c>
      <c r="J26" s="23">
        <v>0</v>
      </c>
    </row>
    <row r="27" spans="1:10" ht="21">
      <c r="A27" s="237" t="s">
        <v>35</v>
      </c>
      <c r="B27" s="239"/>
      <c r="C27" s="23">
        <v>2380200</v>
      </c>
      <c r="D27" s="23"/>
      <c r="E27" s="23"/>
      <c r="F27" s="23"/>
      <c r="G27" s="23"/>
      <c r="H27" s="23">
        <f t="shared" si="0"/>
        <v>2380200</v>
      </c>
      <c r="I27" s="23"/>
      <c r="J27" s="23"/>
    </row>
    <row r="28" spans="1:10" ht="21">
      <c r="A28" s="519" t="s">
        <v>38</v>
      </c>
      <c r="B28" s="239"/>
      <c r="C28" s="23">
        <f>SUM(C6:C27)</f>
        <v>123483438.01</v>
      </c>
      <c r="D28" s="23"/>
      <c r="E28" s="23"/>
      <c r="F28" s="23"/>
      <c r="G28" s="23"/>
      <c r="H28" s="23">
        <f>SUM(H12:H27)</f>
        <v>50867676.980000004</v>
      </c>
      <c r="I28" s="23">
        <f>SUM(I6:I27)</f>
        <v>72615761.03</v>
      </c>
      <c r="J28" s="23"/>
    </row>
    <row r="29" spans="1:10" ht="21">
      <c r="A29" s="519" t="s">
        <v>8</v>
      </c>
      <c r="B29" s="239"/>
      <c r="C29" s="23">
        <f>C28</f>
        <v>123483438.01</v>
      </c>
      <c r="D29" s="23"/>
      <c r="E29" s="23"/>
      <c r="F29" s="23"/>
      <c r="G29" s="23"/>
      <c r="H29" s="23">
        <f>H28</f>
        <v>50867676.980000004</v>
      </c>
      <c r="I29" s="23">
        <f>I28</f>
        <v>72615761.03</v>
      </c>
      <c r="J29" s="23"/>
    </row>
    <row r="30" spans="1:10" ht="21">
      <c r="A30" s="248" t="s">
        <v>794</v>
      </c>
      <c r="B30" s="237"/>
      <c r="C30" s="23">
        <v>998000</v>
      </c>
      <c r="D30" s="23"/>
      <c r="E30" s="23">
        <v>0</v>
      </c>
      <c r="F30" s="23">
        <v>0</v>
      </c>
      <c r="G30" s="23">
        <f>D30</f>
        <v>0</v>
      </c>
      <c r="H30" s="23">
        <f>C30</f>
        <v>998000</v>
      </c>
      <c r="I30" s="23">
        <v>0</v>
      </c>
      <c r="J30" s="23">
        <v>0</v>
      </c>
    </row>
    <row r="31" spans="1:10" ht="21">
      <c r="A31" s="248" t="s">
        <v>676</v>
      </c>
      <c r="B31" s="237"/>
      <c r="C31" s="23">
        <v>998000</v>
      </c>
      <c r="D31" s="240"/>
      <c r="E31" s="23">
        <v>0</v>
      </c>
      <c r="F31" s="23">
        <v>0</v>
      </c>
      <c r="G31" s="23">
        <v>0</v>
      </c>
      <c r="H31" s="23">
        <v>998000</v>
      </c>
      <c r="I31" s="23">
        <v>0</v>
      </c>
      <c r="J31" s="23">
        <f>D31-E31</f>
        <v>0</v>
      </c>
    </row>
    <row r="32" spans="1:11" ht="21">
      <c r="A32" s="237" t="s">
        <v>618</v>
      </c>
      <c r="B32" s="237"/>
      <c r="C32" s="23">
        <v>0</v>
      </c>
      <c r="D32" s="23">
        <v>80963660.56</v>
      </c>
      <c r="E32" s="23"/>
      <c r="F32" s="23"/>
      <c r="G32" s="23">
        <v>80963660.56</v>
      </c>
      <c r="H32" s="23"/>
      <c r="I32" s="23"/>
      <c r="J32" s="23">
        <f>D32+F32+H32-E32-G32</f>
        <v>0</v>
      </c>
      <c r="K32" s="24"/>
    </row>
    <row r="33" spans="1:11" ht="21">
      <c r="A33" s="237" t="s">
        <v>678</v>
      </c>
      <c r="B33" s="237"/>
      <c r="C33" s="23">
        <v>0</v>
      </c>
      <c r="D33" s="23">
        <v>2906078.01</v>
      </c>
      <c r="E33" s="23"/>
      <c r="F33" s="23"/>
      <c r="G33" s="23">
        <v>0</v>
      </c>
      <c r="H33" s="23">
        <v>0</v>
      </c>
      <c r="I33" s="23">
        <v>0</v>
      </c>
      <c r="J33" s="23">
        <f>D33+F33</f>
        <v>2906078.01</v>
      </c>
      <c r="K33" s="24"/>
    </row>
    <row r="34" spans="1:10" ht="21">
      <c r="A34" s="239" t="s">
        <v>680</v>
      </c>
      <c r="B34" s="237"/>
      <c r="C34" s="23">
        <v>0</v>
      </c>
      <c r="D34" s="21">
        <v>920</v>
      </c>
      <c r="E34" s="23"/>
      <c r="F34" s="23">
        <v>0</v>
      </c>
      <c r="G34" s="23">
        <v>0</v>
      </c>
      <c r="H34" s="23"/>
      <c r="I34" s="23">
        <v>0</v>
      </c>
      <c r="J34" s="23">
        <f>D34-E34</f>
        <v>920</v>
      </c>
    </row>
    <row r="35" spans="1:10" ht="21">
      <c r="A35" s="239" t="s">
        <v>51</v>
      </c>
      <c r="B35" s="237"/>
      <c r="C35" s="23">
        <v>0</v>
      </c>
      <c r="D35" s="21">
        <v>3247493.7</v>
      </c>
      <c r="E35" s="23"/>
      <c r="F35" s="23"/>
      <c r="G35" s="23"/>
      <c r="H35" s="23"/>
      <c r="I35" s="23">
        <v>0</v>
      </c>
      <c r="J35" s="23">
        <f>D35</f>
        <v>3247493.7</v>
      </c>
    </row>
    <row r="36" spans="1:10" ht="21">
      <c r="A36" s="239" t="s">
        <v>250</v>
      </c>
      <c r="B36" s="516"/>
      <c r="C36" s="517"/>
      <c r="D36" s="21">
        <v>1960157</v>
      </c>
      <c r="E36" s="517"/>
      <c r="F36" s="517"/>
      <c r="G36" s="517"/>
      <c r="H36" s="517"/>
      <c r="I36" s="517"/>
      <c r="J36" s="517">
        <f>D36</f>
        <v>1960157</v>
      </c>
    </row>
    <row r="37" spans="1:10" ht="21">
      <c r="A37" s="237" t="s">
        <v>36</v>
      </c>
      <c r="B37" s="516"/>
      <c r="C37" s="517"/>
      <c r="D37" s="23">
        <v>19794944.88</v>
      </c>
      <c r="E37" s="517">
        <v>7024995.9</v>
      </c>
      <c r="F37" s="517"/>
      <c r="G37" s="517"/>
      <c r="H37" s="517">
        <v>28099983.58</v>
      </c>
      <c r="I37" s="517"/>
      <c r="J37" s="517">
        <f>D37+H37-E37</f>
        <v>40869932.559999995</v>
      </c>
    </row>
    <row r="38" spans="1:10" ht="21">
      <c r="A38" s="516" t="s">
        <v>198</v>
      </c>
      <c r="B38" s="241"/>
      <c r="C38" s="25">
        <v>0</v>
      </c>
      <c r="D38" s="23">
        <v>16606183.86</v>
      </c>
      <c r="E38" s="25">
        <v>0</v>
      </c>
      <c r="F38" s="25">
        <v>7024995.9</v>
      </c>
      <c r="G38" s="25">
        <v>0</v>
      </c>
      <c r="H38" s="25"/>
      <c r="I38" s="25">
        <v>0</v>
      </c>
      <c r="J38" s="25">
        <f>D38+F38</f>
        <v>23631179.759999998</v>
      </c>
    </row>
    <row r="39" spans="1:10" ht="21">
      <c r="A39" s="33" t="s">
        <v>53</v>
      </c>
      <c r="B39" s="242"/>
      <c r="C39" s="242">
        <f>SUM(C29:C38)</f>
        <v>125479438.01</v>
      </c>
      <c r="D39" s="242">
        <f>SUM(D30:D38)</f>
        <v>125479438.01</v>
      </c>
      <c r="E39" s="242">
        <f>SUM(E30:E38)</f>
        <v>7024995.9</v>
      </c>
      <c r="F39" s="242">
        <f>SUM(F30:F38)</f>
        <v>7024995.9</v>
      </c>
      <c r="G39" s="242">
        <f>SUM(G30:G38)</f>
        <v>80963660.56</v>
      </c>
      <c r="H39" s="242">
        <f>SUM(H29:H38)</f>
        <v>80963660.56</v>
      </c>
      <c r="I39" s="242">
        <f>SUM(I29:I38)</f>
        <v>72615761.03</v>
      </c>
      <c r="J39" s="242">
        <f>SUM(J30:J38)</f>
        <v>72615761.03</v>
      </c>
    </row>
    <row r="40" spans="1:10" ht="17.25" customHeight="1">
      <c r="A40" s="518"/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17.25" customHeight="1">
      <c r="A41" s="243"/>
      <c r="B41" s="244"/>
      <c r="C41" s="244"/>
      <c r="D41" s="244"/>
      <c r="E41" s="244"/>
      <c r="F41" s="244"/>
      <c r="G41" s="244"/>
      <c r="H41" s="244"/>
      <c r="I41" s="244"/>
      <c r="J41" s="244"/>
    </row>
    <row r="42" spans="1:10" ht="17.25" customHeight="1">
      <c r="A42" s="243"/>
      <c r="B42" s="244"/>
      <c r="C42" s="244"/>
      <c r="D42" s="244"/>
      <c r="E42" s="244"/>
      <c r="F42" s="244"/>
      <c r="G42" s="244"/>
      <c r="H42" s="244"/>
      <c r="I42" s="244"/>
      <c r="J42" s="244"/>
    </row>
    <row r="43" spans="1:10" ht="17.25" customHeight="1">
      <c r="A43" s="243"/>
      <c r="B43" s="244"/>
      <c r="C43" s="333"/>
      <c r="D43" s="333"/>
      <c r="E43" s="333"/>
      <c r="F43" s="333"/>
      <c r="G43" s="333"/>
      <c r="H43" s="333"/>
      <c r="I43" s="333"/>
      <c r="J43" s="244"/>
    </row>
    <row r="44" spans="1:10" ht="17.25" customHeight="1">
      <c r="A44" s="243"/>
      <c r="B44" s="244"/>
      <c r="C44" s="244"/>
      <c r="D44" s="244"/>
      <c r="E44" s="244"/>
      <c r="F44" s="244"/>
      <c r="G44" s="244"/>
      <c r="H44" s="244"/>
      <c r="I44" s="244"/>
      <c r="J44" s="244"/>
    </row>
    <row r="45" spans="1:10" ht="17.25" customHeight="1">
      <c r="A45" s="243"/>
      <c r="B45" s="244"/>
      <c r="C45" s="244"/>
      <c r="D45" s="244"/>
      <c r="E45" s="244"/>
      <c r="F45" s="244"/>
      <c r="G45" s="244"/>
      <c r="H45" s="244"/>
      <c r="I45" s="244"/>
      <c r="J45" s="244"/>
    </row>
    <row r="46" spans="1:10" ht="19.5" customHeight="1">
      <c r="A46" s="617"/>
      <c r="B46" s="617"/>
      <c r="C46" s="617"/>
      <c r="D46" s="245"/>
      <c r="F46" s="245"/>
      <c r="G46" s="246"/>
      <c r="H46" s="225"/>
      <c r="I46" s="225"/>
      <c r="J46" s="225"/>
    </row>
    <row r="47" spans="1:10" ht="21">
      <c r="A47" s="617"/>
      <c r="B47" s="617"/>
      <c r="C47" s="617"/>
      <c r="D47" s="245"/>
      <c r="F47" s="245"/>
      <c r="G47" s="225"/>
      <c r="H47" s="225"/>
      <c r="I47" s="225"/>
      <c r="J47" s="225"/>
    </row>
    <row r="48" spans="1:10" ht="21">
      <c r="A48" s="617"/>
      <c r="B48" s="617"/>
      <c r="C48" s="617"/>
      <c r="D48" s="247"/>
      <c r="E48" s="247"/>
      <c r="F48" s="247"/>
      <c r="G48" s="225"/>
      <c r="H48" s="225"/>
      <c r="I48" s="225"/>
      <c r="J48" s="225"/>
    </row>
    <row r="49" spans="1:10" ht="21">
      <c r="A49" s="247"/>
      <c r="B49" s="247"/>
      <c r="C49" s="247"/>
      <c r="D49" s="247"/>
      <c r="E49" s="247"/>
      <c r="F49" s="247"/>
      <c r="G49" s="225"/>
      <c r="H49" s="225"/>
      <c r="I49" s="225"/>
      <c r="J49" s="225"/>
    </row>
    <row r="50" spans="1:10" ht="21">
      <c r="A50" s="617"/>
      <c r="B50" s="617"/>
      <c r="C50" s="617"/>
      <c r="D50" s="617"/>
      <c r="E50" s="617"/>
      <c r="F50" s="617"/>
      <c r="G50" s="617"/>
      <c r="H50" s="617"/>
      <c r="I50" s="617"/>
      <c r="J50" s="617"/>
    </row>
    <row r="51" ht="21">
      <c r="E51" s="24"/>
    </row>
    <row r="54" spans="7:8" ht="21">
      <c r="G54" s="24"/>
      <c r="H54" s="24"/>
    </row>
  </sheetData>
  <mergeCells count="13">
    <mergeCell ref="A46:C46"/>
    <mergeCell ref="A47:C47"/>
    <mergeCell ref="A48:C48"/>
    <mergeCell ref="A50:J50"/>
    <mergeCell ref="A1:J1"/>
    <mergeCell ref="A2:J2"/>
    <mergeCell ref="A3:J3"/>
    <mergeCell ref="G4:H4"/>
    <mergeCell ref="I4:J4"/>
    <mergeCell ref="A4:A5"/>
    <mergeCell ref="B4:B5"/>
    <mergeCell ref="C4:D4"/>
    <mergeCell ref="E4:F4"/>
  </mergeCells>
  <printOptions/>
  <pageMargins left="0.36" right="0" top="0.25" bottom="0.26" header="0.25" footer="0.26"/>
  <pageSetup horizontalDpi="300" verticalDpi="300" orientation="landscape" paperSize="9" r:id="rId2"/>
  <headerFooter alignWithMargins="0">
    <oddHeader>&amp;Rหน้าที่ &amp;P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64"/>
  <sheetViews>
    <sheetView showGridLines="0" zoomScale="75" zoomScaleNormal="75" workbookViewId="0" topLeftCell="A19">
      <selection activeCell="J34" sqref="J34"/>
    </sheetView>
  </sheetViews>
  <sheetFormatPr defaultColWidth="9.140625" defaultRowHeight="21.75"/>
  <cols>
    <col min="1" max="1" width="37.28125" style="492" customWidth="1"/>
    <col min="2" max="2" width="13.00390625" style="488" customWidth="1"/>
    <col min="3" max="3" width="12.28125" style="488" customWidth="1"/>
    <col min="4" max="4" width="10.7109375" style="250" customWidth="1"/>
    <col min="5" max="5" width="11.8515625" style="488" customWidth="1"/>
    <col min="6" max="6" width="12.28125" style="488" customWidth="1"/>
    <col min="7" max="7" width="12.421875" style="250" customWidth="1"/>
    <col min="8" max="8" width="11.28125" style="488" customWidth="1"/>
    <col min="9" max="10" width="12.8515625" style="250" customWidth="1"/>
    <col min="11" max="11" width="13.140625" style="250" customWidth="1"/>
    <col min="12" max="12" width="9.8515625" style="250" bestFit="1" customWidth="1"/>
    <col min="13" max="13" width="9.140625" style="250" customWidth="1"/>
    <col min="14" max="14" width="19.421875" style="250" customWidth="1"/>
    <col min="15" max="16384" width="9.140625" style="250" customWidth="1"/>
  </cols>
  <sheetData>
    <row r="1" spans="1:11" ht="18">
      <c r="A1" s="659" t="s">
        <v>107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1" ht="18">
      <c r="A2" s="659" t="s">
        <v>219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11" ht="18">
      <c r="A3" s="662" t="s">
        <v>732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18">
      <c r="A4" s="461" t="s">
        <v>108</v>
      </c>
      <c r="B4" s="663" t="s">
        <v>220</v>
      </c>
      <c r="C4" s="663"/>
      <c r="D4" s="251" t="s">
        <v>255</v>
      </c>
      <c r="E4" s="462" t="s">
        <v>256</v>
      </c>
      <c r="F4" s="462" t="s">
        <v>257</v>
      </c>
      <c r="G4" s="251" t="s">
        <v>258</v>
      </c>
      <c r="H4" s="462" t="s">
        <v>259</v>
      </c>
      <c r="I4" s="251" t="s">
        <v>260</v>
      </c>
      <c r="J4" s="251" t="s">
        <v>261</v>
      </c>
      <c r="K4" s="631" t="s">
        <v>53</v>
      </c>
    </row>
    <row r="5" spans="1:11" s="460" customFormat="1" ht="21.75" customHeight="1">
      <c r="A5" s="463" t="s">
        <v>109</v>
      </c>
      <c r="B5" s="464" t="s">
        <v>733</v>
      </c>
      <c r="C5" s="464" t="s">
        <v>110</v>
      </c>
      <c r="D5" s="464" t="s">
        <v>262</v>
      </c>
      <c r="E5" s="464" t="s">
        <v>263</v>
      </c>
      <c r="F5" s="464" t="s">
        <v>264</v>
      </c>
      <c r="G5" s="464" t="s">
        <v>265</v>
      </c>
      <c r="H5" s="464" t="s">
        <v>266</v>
      </c>
      <c r="I5" s="464" t="s">
        <v>267</v>
      </c>
      <c r="J5" s="464" t="s">
        <v>111</v>
      </c>
      <c r="K5" s="633"/>
    </row>
    <row r="6" spans="1:11" ht="18">
      <c r="A6" s="465" t="s">
        <v>112</v>
      </c>
      <c r="B6" s="466"/>
      <c r="C6" s="466"/>
      <c r="D6" s="466"/>
      <c r="E6" s="466"/>
      <c r="F6" s="466"/>
      <c r="G6" s="466"/>
      <c r="H6" s="466"/>
      <c r="I6" s="466"/>
      <c r="J6" s="466"/>
      <c r="K6" s="273"/>
    </row>
    <row r="7" spans="1:11" ht="18">
      <c r="A7" s="42" t="s">
        <v>268</v>
      </c>
      <c r="B7" s="466"/>
      <c r="C7" s="466"/>
      <c r="D7" s="466"/>
      <c r="E7" s="466"/>
      <c r="F7" s="466"/>
      <c r="G7" s="466"/>
      <c r="H7" s="466"/>
      <c r="I7" s="466"/>
      <c r="J7" s="466">
        <f>240+25440+96+23706</f>
        <v>49482</v>
      </c>
      <c r="K7" s="273">
        <f>SUM(B7:J7)</f>
        <v>49482</v>
      </c>
    </row>
    <row r="8" spans="1:11" ht="18">
      <c r="A8" s="42" t="s">
        <v>269</v>
      </c>
      <c r="B8" s="466"/>
      <c r="C8" s="466"/>
      <c r="D8" s="466"/>
      <c r="E8" s="466"/>
      <c r="F8" s="466"/>
      <c r="G8" s="466"/>
      <c r="H8" s="466"/>
      <c r="I8" s="466"/>
      <c r="J8" s="466">
        <v>18783.85</v>
      </c>
      <c r="K8" s="273">
        <f>SUM(B8:J8)</f>
        <v>18783.85</v>
      </c>
    </row>
    <row r="9" spans="1:11" ht="18">
      <c r="A9" s="42" t="s">
        <v>734</v>
      </c>
      <c r="B9" s="466"/>
      <c r="C9" s="466"/>
      <c r="D9" s="466"/>
      <c r="E9" s="466"/>
      <c r="F9" s="466"/>
      <c r="G9" s="466"/>
      <c r="H9" s="466"/>
      <c r="I9" s="466"/>
      <c r="J9" s="466">
        <v>1500</v>
      </c>
      <c r="K9" s="273">
        <f>SUM(B9:J9)</f>
        <v>1500</v>
      </c>
    </row>
    <row r="10" spans="1:11" ht="18">
      <c r="A10" s="42" t="s">
        <v>735</v>
      </c>
      <c r="B10" s="466"/>
      <c r="C10" s="466"/>
      <c r="D10" s="466"/>
      <c r="E10" s="466"/>
      <c r="F10" s="466"/>
      <c r="G10" s="466"/>
      <c r="H10" s="466"/>
      <c r="I10" s="466"/>
      <c r="J10" s="466">
        <v>0</v>
      </c>
      <c r="K10" s="273">
        <f>SUM(B10:J10)</f>
        <v>0</v>
      </c>
    </row>
    <row r="11" spans="1:11" ht="18">
      <c r="A11" s="253" t="s">
        <v>113</v>
      </c>
      <c r="B11" s="467">
        <f>SUM(B6:B10)</f>
        <v>0</v>
      </c>
      <c r="C11" s="467"/>
      <c r="D11" s="467"/>
      <c r="E11" s="467">
        <f>SUM(E7:E10)</f>
        <v>0</v>
      </c>
      <c r="F11" s="467">
        <f>SUM(F7:F10)</f>
        <v>0</v>
      </c>
      <c r="G11" s="467"/>
      <c r="H11" s="467"/>
      <c r="I11" s="467"/>
      <c r="J11" s="467">
        <f>SUM(J7:J10)</f>
        <v>69765.85</v>
      </c>
      <c r="K11" s="254">
        <f>SUM(B11:J11)</f>
        <v>69765.85</v>
      </c>
    </row>
    <row r="12" spans="1:11" ht="18">
      <c r="A12" s="253" t="s">
        <v>114</v>
      </c>
      <c r="B12" s="467">
        <f>B11</f>
        <v>0</v>
      </c>
      <c r="C12" s="467">
        <f aca="true" t="shared" si="0" ref="C12:I12">C11</f>
        <v>0</v>
      </c>
      <c r="D12" s="467">
        <f t="shared" si="0"/>
        <v>0</v>
      </c>
      <c r="E12" s="467">
        <f t="shared" si="0"/>
        <v>0</v>
      </c>
      <c r="F12" s="467">
        <f t="shared" si="0"/>
        <v>0</v>
      </c>
      <c r="G12" s="467">
        <f t="shared" si="0"/>
        <v>0</v>
      </c>
      <c r="H12" s="467">
        <f t="shared" si="0"/>
        <v>0</v>
      </c>
      <c r="I12" s="467">
        <f t="shared" si="0"/>
        <v>0</v>
      </c>
      <c r="J12" s="467">
        <f>516784+2841041+44526.4+17131+58035+69765.85</f>
        <v>3547283.25</v>
      </c>
      <c r="K12" s="257">
        <f>SUM(J12)</f>
        <v>3547283.25</v>
      </c>
    </row>
    <row r="13" spans="1:11" ht="18">
      <c r="A13" s="468" t="s">
        <v>29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70"/>
    </row>
    <row r="14" spans="1:12" ht="18">
      <c r="A14" s="42" t="s">
        <v>221</v>
      </c>
      <c r="B14" s="466">
        <f>44280+209790+73670+7560</f>
        <v>335300</v>
      </c>
      <c r="C14" s="466">
        <f>86105+6110+3510</f>
        <v>95725</v>
      </c>
      <c r="D14" s="466"/>
      <c r="E14" s="466">
        <f>16250+1470-1050</f>
        <v>16670</v>
      </c>
      <c r="F14" s="466">
        <f>53090+270</f>
        <v>53360</v>
      </c>
      <c r="G14" s="466"/>
      <c r="H14" s="466">
        <f>103570+1660</f>
        <v>105230</v>
      </c>
      <c r="I14" s="466"/>
      <c r="J14" s="466"/>
      <c r="K14" s="273">
        <f>SUM(B14:J14)</f>
        <v>606285</v>
      </c>
      <c r="L14" s="255"/>
    </row>
    <row r="15" spans="1:13" ht="18">
      <c r="A15" s="253" t="s">
        <v>113</v>
      </c>
      <c r="B15" s="467">
        <f>SUM(B14)</f>
        <v>335300</v>
      </c>
      <c r="C15" s="467">
        <f>SUM(C14)</f>
        <v>95725</v>
      </c>
      <c r="D15" s="467"/>
      <c r="E15" s="467">
        <f>SUM(E14)</f>
        <v>16670</v>
      </c>
      <c r="F15" s="467">
        <f>SUM(F14)</f>
        <v>53360</v>
      </c>
      <c r="G15" s="467"/>
      <c r="H15" s="467">
        <f>SUM(H14)</f>
        <v>105230</v>
      </c>
      <c r="I15" s="467"/>
      <c r="J15" s="467"/>
      <c r="K15" s="254">
        <f>SUM(B15:J15)</f>
        <v>606285</v>
      </c>
      <c r="M15" s="255"/>
    </row>
    <row r="16" spans="1:11" ht="18">
      <c r="A16" s="253" t="s">
        <v>114</v>
      </c>
      <c r="B16" s="467">
        <f>596099+2218159.29+230444.6+88769</f>
        <v>3133471.89</v>
      </c>
      <c r="C16" s="467">
        <f>450346.44+62780+82190+90325+83185+95725</f>
        <v>864551.44</v>
      </c>
      <c r="D16" s="467"/>
      <c r="E16" s="467">
        <f>31180+15590+15590+15590+15590+16670</f>
        <v>110210</v>
      </c>
      <c r="F16" s="467">
        <f>318010+45430+45110+49160+45110+53360</f>
        <v>556180</v>
      </c>
      <c r="G16" s="467"/>
      <c r="H16" s="467">
        <f>641600+91520+90590+90590+90590+105230</f>
        <v>1110120</v>
      </c>
      <c r="I16" s="467"/>
      <c r="J16" s="467"/>
      <c r="K16" s="254">
        <f>SUM(B16:J16)</f>
        <v>5774533.33</v>
      </c>
    </row>
    <row r="17" spans="1:12" ht="18">
      <c r="A17" s="465" t="s">
        <v>203</v>
      </c>
      <c r="B17" s="466"/>
      <c r="C17" s="466"/>
      <c r="D17" s="466"/>
      <c r="E17" s="466"/>
      <c r="F17" s="466"/>
      <c r="G17" s="466"/>
      <c r="H17" s="466"/>
      <c r="I17" s="466"/>
      <c r="J17" s="466"/>
      <c r="K17" s="273"/>
      <c r="L17" s="255"/>
    </row>
    <row r="18" spans="1:11" ht="18">
      <c r="A18" s="471" t="s">
        <v>222</v>
      </c>
      <c r="B18" s="472">
        <f>84640+18280</f>
        <v>102920</v>
      </c>
      <c r="C18" s="472">
        <v>37040</v>
      </c>
      <c r="D18" s="472"/>
      <c r="E18" s="472">
        <f>44080-9200</f>
        <v>34880</v>
      </c>
      <c r="F18" s="472">
        <v>107559</v>
      </c>
      <c r="G18" s="472"/>
      <c r="H18" s="472">
        <v>55210</v>
      </c>
      <c r="I18" s="472"/>
      <c r="J18" s="472"/>
      <c r="K18" s="257">
        <f>SUM(B18:J18)</f>
        <v>337609</v>
      </c>
    </row>
    <row r="19" spans="1:11" ht="18">
      <c r="A19" s="253" t="s">
        <v>113</v>
      </c>
      <c r="B19" s="467">
        <f>SUM(B18)</f>
        <v>102920</v>
      </c>
      <c r="C19" s="467">
        <f>SUM(C18)</f>
        <v>37040</v>
      </c>
      <c r="D19" s="467"/>
      <c r="E19" s="467">
        <f>SUM(E18)</f>
        <v>34880</v>
      </c>
      <c r="F19" s="467">
        <f>SUM(F18)</f>
        <v>107559</v>
      </c>
      <c r="G19" s="467"/>
      <c r="H19" s="467">
        <f>SUM(H18)</f>
        <v>55210</v>
      </c>
      <c r="I19" s="467"/>
      <c r="J19" s="467"/>
      <c r="K19" s="254">
        <f>SUM(B19:J19)</f>
        <v>337609</v>
      </c>
    </row>
    <row r="20" spans="1:11" ht="18">
      <c r="A20" s="253" t="s">
        <v>114</v>
      </c>
      <c r="B20" s="467">
        <f>976410+223560</f>
        <v>1199970</v>
      </c>
      <c r="C20" s="467">
        <f>206646.66+36240+36240+39013+37040+37040</f>
        <v>392219.66000000003</v>
      </c>
      <c r="D20" s="467"/>
      <c r="E20" s="467">
        <f>27650.65+2390+2390+2390+2390+34880</f>
        <v>72090.65</v>
      </c>
      <c r="F20" s="467">
        <f>567020+74740+71320+207400+90760+107559</f>
        <v>1118799</v>
      </c>
      <c r="G20" s="467"/>
      <c r="H20" s="467">
        <f>298382+47930+47930+99005-6517+55210+55210</f>
        <v>597150</v>
      </c>
      <c r="I20" s="467"/>
      <c r="J20" s="467"/>
      <c r="K20" s="254">
        <f>SUM(B20:J20)</f>
        <v>3380229.31</v>
      </c>
    </row>
    <row r="21" spans="1:12" ht="18">
      <c r="A21" s="468" t="s">
        <v>30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  <c r="L21" s="263"/>
    </row>
    <row r="22" spans="1:12" ht="18">
      <c r="A22" s="42" t="s">
        <v>238</v>
      </c>
      <c r="B22" s="466">
        <v>187380</v>
      </c>
      <c r="C22" s="466"/>
      <c r="D22" s="466"/>
      <c r="E22" s="466"/>
      <c r="F22" s="466"/>
      <c r="G22" s="466"/>
      <c r="H22" s="466"/>
      <c r="I22" s="466"/>
      <c r="J22" s="466"/>
      <c r="K22" s="273">
        <f aca="true" t="shared" si="1" ref="K22:K29">SUM(B22:J22)</f>
        <v>187380</v>
      </c>
      <c r="L22" s="263"/>
    </row>
    <row r="23" spans="1:12" ht="18">
      <c r="A23" s="42" t="s">
        <v>239</v>
      </c>
      <c r="B23" s="466"/>
      <c r="C23" s="466"/>
      <c r="D23" s="466"/>
      <c r="E23" s="466">
        <v>1500</v>
      </c>
      <c r="F23" s="466"/>
      <c r="G23" s="466"/>
      <c r="H23" s="466">
        <v>4900</v>
      </c>
      <c r="I23" s="466"/>
      <c r="J23" s="466"/>
      <c r="K23" s="273">
        <f t="shared" si="1"/>
        <v>6400</v>
      </c>
      <c r="L23" s="263"/>
    </row>
    <row r="24" spans="1:12" ht="18">
      <c r="A24" s="42" t="s">
        <v>736</v>
      </c>
      <c r="B24" s="466">
        <v>819870</v>
      </c>
      <c r="C24" s="466">
        <v>300340</v>
      </c>
      <c r="D24" s="466"/>
      <c r="E24" s="466">
        <v>121477</v>
      </c>
      <c r="F24" s="466">
        <v>330240</v>
      </c>
      <c r="G24" s="466"/>
      <c r="H24" s="466">
        <v>388230</v>
      </c>
      <c r="I24" s="466"/>
      <c r="J24" s="466"/>
      <c r="K24" s="273">
        <f t="shared" si="1"/>
        <v>1960157</v>
      </c>
      <c r="L24" s="263"/>
    </row>
    <row r="25" spans="1:12" ht="18">
      <c r="A25" s="42" t="s">
        <v>240</v>
      </c>
      <c r="B25" s="466"/>
      <c r="C25" s="466"/>
      <c r="D25" s="466"/>
      <c r="E25" s="466"/>
      <c r="F25" s="466"/>
      <c r="G25" s="466"/>
      <c r="H25" s="466"/>
      <c r="I25" s="466"/>
      <c r="J25" s="466"/>
      <c r="K25" s="273">
        <f t="shared" si="1"/>
        <v>0</v>
      </c>
      <c r="L25" s="263"/>
    </row>
    <row r="26" spans="1:12" ht="18">
      <c r="A26" s="272" t="s">
        <v>241</v>
      </c>
      <c r="B26" s="466">
        <v>14500</v>
      </c>
      <c r="C26" s="466">
        <v>7600</v>
      </c>
      <c r="D26" s="466"/>
      <c r="E26" s="466">
        <v>2400</v>
      </c>
      <c r="F26" s="466">
        <v>4350</v>
      </c>
      <c r="G26" s="466"/>
      <c r="H26" s="466">
        <v>15000</v>
      </c>
      <c r="I26" s="466"/>
      <c r="J26" s="466"/>
      <c r="K26" s="273">
        <f t="shared" si="1"/>
        <v>43850</v>
      </c>
      <c r="L26" s="263"/>
    </row>
    <row r="27" spans="1:12" ht="18">
      <c r="A27" s="42" t="s">
        <v>242</v>
      </c>
      <c r="B27" s="466">
        <v>3404</v>
      </c>
      <c r="C27" s="466"/>
      <c r="D27" s="466"/>
      <c r="E27" s="466"/>
      <c r="F27" s="466">
        <v>1600</v>
      </c>
      <c r="G27" s="466"/>
      <c r="H27" s="473"/>
      <c r="I27" s="466"/>
      <c r="J27" s="466"/>
      <c r="K27" s="273">
        <f t="shared" si="1"/>
        <v>5004</v>
      </c>
      <c r="L27" s="263"/>
    </row>
    <row r="28" spans="1:12" ht="18">
      <c r="A28" s="42" t="s">
        <v>243</v>
      </c>
      <c r="B28" s="466">
        <f>2985+655+810+155+54416+940</f>
        <v>59961</v>
      </c>
      <c r="C28" s="466">
        <f>980+1475+660</f>
        <v>3115</v>
      </c>
      <c r="D28" s="466"/>
      <c r="E28" s="466"/>
      <c r="F28" s="466">
        <v>1425</v>
      </c>
      <c r="G28" s="466"/>
      <c r="H28" s="466"/>
      <c r="I28" s="466"/>
      <c r="J28" s="466"/>
      <c r="K28" s="273">
        <f t="shared" si="1"/>
        <v>64501</v>
      </c>
      <c r="L28" s="263"/>
    </row>
    <row r="29" spans="1:13" ht="18">
      <c r="A29" s="253" t="s">
        <v>113</v>
      </c>
      <c r="B29" s="467">
        <f>SUM(B22:B28)</f>
        <v>1085115</v>
      </c>
      <c r="C29" s="467">
        <f>SUM(C22:C28)</f>
        <v>311055</v>
      </c>
      <c r="D29" s="467"/>
      <c r="E29" s="467">
        <f>SUM(E22:E28)</f>
        <v>125377</v>
      </c>
      <c r="F29" s="467">
        <f>SUM(F22:F28)</f>
        <v>337615</v>
      </c>
      <c r="G29" s="467"/>
      <c r="H29" s="467">
        <f>SUM(H22:H28)</f>
        <v>408130</v>
      </c>
      <c r="I29" s="467"/>
      <c r="J29" s="467"/>
      <c r="K29" s="254">
        <f t="shared" si="1"/>
        <v>2267292</v>
      </c>
      <c r="M29" s="255"/>
    </row>
    <row r="30" spans="1:12" ht="18">
      <c r="A30" s="253" t="s">
        <v>114</v>
      </c>
      <c r="B30" s="467">
        <f>1624813.75+217864+200946+249494.75-187430+3796+149009-73380+1158495</f>
        <v>3343608.5</v>
      </c>
      <c r="C30" s="467">
        <f>15108.25+5209+1250+6250+1367+3750+311055</f>
        <v>343989.25</v>
      </c>
      <c r="D30" s="467"/>
      <c r="E30" s="467">
        <f>5700+2400+4050+2400+2400+125377</f>
        <v>142327</v>
      </c>
      <c r="F30" s="467">
        <f>64550+9450+7950+22887+11675+4350+337615</f>
        <v>458477</v>
      </c>
      <c r="G30" s="467"/>
      <c r="H30" s="467">
        <f>23592+15502+2913+9000+408130</f>
        <v>459137</v>
      </c>
      <c r="I30" s="467"/>
      <c r="J30" s="467"/>
      <c r="K30" s="254">
        <f>SUM(B30:J30)</f>
        <v>4747538.75</v>
      </c>
      <c r="L30" s="255"/>
    </row>
    <row r="31" spans="1:13" ht="18">
      <c r="A31" s="468" t="s">
        <v>31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70"/>
      <c r="L31" s="263"/>
      <c r="M31" s="263"/>
    </row>
    <row r="32" spans="1:13" ht="18">
      <c r="A32" s="42" t="s">
        <v>223</v>
      </c>
      <c r="B32" s="466">
        <f>6000+3330+400+500+500+600+7000+10500+6000+3330+400+9000</f>
        <v>47560</v>
      </c>
      <c r="C32" s="466">
        <v>1134</v>
      </c>
      <c r="D32" s="466"/>
      <c r="E32" s="473"/>
      <c r="F32" s="466">
        <v>5700</v>
      </c>
      <c r="G32" s="466"/>
      <c r="H32" s="466">
        <f>733.65+28960+45747</f>
        <v>75440.65</v>
      </c>
      <c r="I32" s="466"/>
      <c r="J32" s="466"/>
      <c r="K32" s="273">
        <f>SUM(B32:J32)</f>
        <v>129834.65</v>
      </c>
      <c r="L32" s="263"/>
      <c r="M32" s="263"/>
    </row>
    <row r="33" spans="1:13" ht="18">
      <c r="A33" s="42" t="s">
        <v>115</v>
      </c>
      <c r="B33" s="466">
        <f>6550+13000</f>
        <v>19550</v>
      </c>
      <c r="C33" s="466">
        <v>2900</v>
      </c>
      <c r="D33" s="466">
        <f>18000+12800</f>
        <v>30800</v>
      </c>
      <c r="E33" s="466">
        <v>5600</v>
      </c>
      <c r="F33" s="466">
        <v>27200</v>
      </c>
      <c r="G33" s="272"/>
      <c r="H33" s="466">
        <f>9800+18900+96800+43706+95900+98300+90190</f>
        <v>453596</v>
      </c>
      <c r="I33" s="272"/>
      <c r="J33" s="466"/>
      <c r="K33" s="273">
        <f>SUM(B33:J33)</f>
        <v>539646</v>
      </c>
      <c r="L33" s="263"/>
      <c r="M33" s="263"/>
    </row>
    <row r="34" spans="1:13" ht="18">
      <c r="A34" s="474" t="s">
        <v>244</v>
      </c>
      <c r="B34" s="475">
        <f>750+2460+8750+99374.11+2500+2100+5000+15000+1000</f>
        <v>136934.11</v>
      </c>
      <c r="C34" s="475"/>
      <c r="D34" s="475">
        <f>500+6500+2020+6000</f>
        <v>15020</v>
      </c>
      <c r="E34" s="475"/>
      <c r="F34" s="476"/>
      <c r="G34" s="475">
        <f>5000+20000+7500+42500+45000</f>
        <v>120000</v>
      </c>
      <c r="H34" s="477"/>
      <c r="I34" s="475"/>
      <c r="J34" s="478"/>
      <c r="K34" s="285">
        <f>SUM(B34:J34)</f>
        <v>271954.11</v>
      </c>
      <c r="L34" s="263"/>
      <c r="M34" s="263"/>
    </row>
    <row r="35" spans="1:13" ht="18">
      <c r="A35" s="42" t="s">
        <v>245</v>
      </c>
      <c r="B35" s="466">
        <v>39540</v>
      </c>
      <c r="C35" s="466"/>
      <c r="D35" s="466"/>
      <c r="E35" s="466">
        <f>19500+19500</f>
        <v>39000</v>
      </c>
      <c r="F35" s="466"/>
      <c r="G35" s="466"/>
      <c r="H35" s="466"/>
      <c r="I35" s="466"/>
      <c r="J35" s="466"/>
      <c r="K35" s="273">
        <f>SUM(B35:J35)</f>
        <v>78540</v>
      </c>
      <c r="L35" s="263"/>
      <c r="M35" s="263"/>
    </row>
    <row r="36" spans="1:13" ht="18">
      <c r="A36" s="42" t="s">
        <v>270</v>
      </c>
      <c r="B36" s="479"/>
      <c r="C36" s="466"/>
      <c r="D36" s="466"/>
      <c r="E36" s="466"/>
      <c r="F36" s="466">
        <v>26201</v>
      </c>
      <c r="G36" s="480"/>
      <c r="H36" s="466"/>
      <c r="I36" s="466"/>
      <c r="J36" s="480"/>
      <c r="K36" s="273">
        <f>SUM(B36:J36)</f>
        <v>26201</v>
      </c>
      <c r="L36" s="263"/>
      <c r="M36" s="263"/>
    </row>
    <row r="37" spans="1:14" ht="18">
      <c r="A37" s="253" t="s">
        <v>113</v>
      </c>
      <c r="B37" s="467">
        <f>SUM(B32:B36)</f>
        <v>243584.11</v>
      </c>
      <c r="C37" s="467">
        <f>SUM(C32:C36)</f>
        <v>4034</v>
      </c>
      <c r="D37" s="467">
        <f>SUM(D32:D36)</f>
        <v>45820</v>
      </c>
      <c r="E37" s="467">
        <f>SUM(E32:E36)</f>
        <v>44600</v>
      </c>
      <c r="F37" s="467">
        <f>SUM(F32:F36)</f>
        <v>59101</v>
      </c>
      <c r="G37" s="467">
        <f>SUM(G33:G36)</f>
        <v>120000</v>
      </c>
      <c r="H37" s="467">
        <f>SUM(H32:H36)</f>
        <v>529036.65</v>
      </c>
      <c r="I37" s="467">
        <f>SUM(I34:I36)</f>
        <v>0</v>
      </c>
      <c r="J37" s="467"/>
      <c r="K37" s="254">
        <f>SUM(K31:K36)</f>
        <v>1046175.76</v>
      </c>
      <c r="L37" s="255"/>
      <c r="M37" s="255"/>
      <c r="N37" s="255"/>
    </row>
    <row r="38" spans="1:14" ht="18">
      <c r="A38" s="253" t="s">
        <v>114</v>
      </c>
      <c r="B38" s="467">
        <f>1096446.83+171105+205295+1018536.94-25300+80961+207270+243584.11</f>
        <v>2997898.88</v>
      </c>
      <c r="C38" s="467">
        <f>32163.66+5600+8400+2500+4510.05+1240+5689.99+4034</f>
        <v>64137.700000000004</v>
      </c>
      <c r="D38" s="467">
        <f>27370+2300+178650+25300+2382+45820</f>
        <v>281822</v>
      </c>
      <c r="E38" s="467">
        <f>445999+388898+120150+102115+27080+81985+44600</f>
        <v>1210827</v>
      </c>
      <c r="F38" s="467">
        <f>756377+187752+143616+102727+43820+58738+59101</f>
        <v>1352131</v>
      </c>
      <c r="G38" s="467">
        <f>18825+77930+1600+13600+10330+120000</f>
        <v>242285</v>
      </c>
      <c r="H38" s="467">
        <f>14510+129000+115800+430837+236800+165000+192454.93+342370+13181.17+529036.65</f>
        <v>2168989.75</v>
      </c>
      <c r="I38" s="467">
        <f>15500+52300+27000+36000+22800</f>
        <v>153600</v>
      </c>
      <c r="J38" s="467"/>
      <c r="K38" s="254">
        <f>SUM(B38:J38)</f>
        <v>8471691.33</v>
      </c>
      <c r="L38" s="255">
        <f>8471691.33-K38</f>
        <v>0</v>
      </c>
      <c r="N38" s="255"/>
    </row>
    <row r="39" spans="1:14" ht="18">
      <c r="A39" s="468" t="s">
        <v>32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70"/>
      <c r="L39" s="263"/>
      <c r="M39" s="263"/>
      <c r="N39" s="255"/>
    </row>
    <row r="40" spans="1:13" ht="18">
      <c r="A40" s="42" t="s">
        <v>116</v>
      </c>
      <c r="B40" s="466">
        <f>5100+46522</f>
        <v>51622</v>
      </c>
      <c r="C40" s="466">
        <v>11812</v>
      </c>
      <c r="D40" s="466"/>
      <c r="E40" s="466"/>
      <c r="F40" s="466"/>
      <c r="G40" s="466"/>
      <c r="H40" s="466">
        <v>13169</v>
      </c>
      <c r="I40" s="466"/>
      <c r="J40" s="466"/>
      <c r="K40" s="273">
        <f aca="true" t="shared" si="2" ref="K40:K54">SUM(B40:J40)</f>
        <v>76603</v>
      </c>
      <c r="L40" s="263"/>
      <c r="M40" s="263"/>
    </row>
    <row r="41" spans="1:13" ht="18">
      <c r="A41" s="42" t="s">
        <v>271</v>
      </c>
      <c r="B41" s="466">
        <f>4830+44140</f>
        <v>48970</v>
      </c>
      <c r="C41" s="466"/>
      <c r="D41" s="466"/>
      <c r="E41" s="466">
        <v>16600</v>
      </c>
      <c r="F41" s="466"/>
      <c r="G41" s="466"/>
      <c r="H41" s="466">
        <v>63132.14</v>
      </c>
      <c r="I41" s="466"/>
      <c r="J41" s="466"/>
      <c r="K41" s="273">
        <f t="shared" si="2"/>
        <v>128702.14</v>
      </c>
      <c r="L41" s="263"/>
      <c r="M41" s="263"/>
    </row>
    <row r="42" spans="1:13" ht="18">
      <c r="A42" s="42" t="s">
        <v>117</v>
      </c>
      <c r="B42" s="466">
        <v>15605</v>
      </c>
      <c r="C42" s="466">
        <v>1619</v>
      </c>
      <c r="D42" s="466"/>
      <c r="E42" s="466">
        <v>1485</v>
      </c>
      <c r="F42" s="466">
        <v>36340</v>
      </c>
      <c r="G42" s="466"/>
      <c r="H42" s="466">
        <v>7431</v>
      </c>
      <c r="I42" s="466"/>
      <c r="J42" s="466"/>
      <c r="K42" s="273">
        <f t="shared" si="2"/>
        <v>62480</v>
      </c>
      <c r="L42" s="263"/>
      <c r="M42" s="263"/>
    </row>
    <row r="43" spans="1:13" ht="18">
      <c r="A43" s="42" t="s">
        <v>118</v>
      </c>
      <c r="B43" s="466"/>
      <c r="C43" s="466"/>
      <c r="D43" s="466"/>
      <c r="E43" s="466"/>
      <c r="F43" s="466"/>
      <c r="G43" s="466"/>
      <c r="H43" s="466">
        <f>40500+99000+42916</f>
        <v>182416</v>
      </c>
      <c r="I43" s="466"/>
      <c r="J43" s="466"/>
      <c r="K43" s="273">
        <f t="shared" si="2"/>
        <v>182416</v>
      </c>
      <c r="L43" s="263"/>
      <c r="M43" s="263"/>
    </row>
    <row r="44" spans="1:13" ht="18">
      <c r="A44" s="42" t="s">
        <v>272</v>
      </c>
      <c r="B44" s="466">
        <v>1546.15</v>
      </c>
      <c r="C44" s="466"/>
      <c r="D44" s="466"/>
      <c r="E44" s="466"/>
      <c r="F44" s="466"/>
      <c r="G44" s="466"/>
      <c r="H44" s="473"/>
      <c r="I44" s="466"/>
      <c r="J44" s="466"/>
      <c r="K44" s="273">
        <f t="shared" si="2"/>
        <v>1546.15</v>
      </c>
      <c r="L44" s="263"/>
      <c r="M44" s="263"/>
    </row>
    <row r="45" spans="1:13" ht="18">
      <c r="A45" s="42" t="s">
        <v>119</v>
      </c>
      <c r="B45" s="466">
        <f>14791+8412.2+9449+7570.2</f>
        <v>40222.4</v>
      </c>
      <c r="C45" s="466">
        <f>1740+2700+2604</f>
        <v>7044</v>
      </c>
      <c r="D45" s="466"/>
      <c r="E45" s="466"/>
      <c r="F45" s="466">
        <f>13256.8+39699+9298.3+38987.8</f>
        <v>101241.90000000001</v>
      </c>
      <c r="G45" s="466"/>
      <c r="H45" s="466">
        <f>2424</f>
        <v>2424</v>
      </c>
      <c r="I45" s="466"/>
      <c r="J45" s="466"/>
      <c r="K45" s="273">
        <f t="shared" si="2"/>
        <v>150932.30000000002</v>
      </c>
      <c r="L45" s="263"/>
      <c r="M45" s="263"/>
    </row>
    <row r="46" spans="1:13" ht="18">
      <c r="A46" s="42" t="s">
        <v>273</v>
      </c>
      <c r="B46" s="466"/>
      <c r="C46" s="466"/>
      <c r="D46" s="466"/>
      <c r="E46" s="466">
        <f>26580+40000</f>
        <v>66580</v>
      </c>
      <c r="F46" s="466">
        <v>78000</v>
      </c>
      <c r="G46" s="466"/>
      <c r="H46" s="466"/>
      <c r="I46" s="466"/>
      <c r="J46" s="466"/>
      <c r="K46" s="273">
        <f t="shared" si="2"/>
        <v>144580</v>
      </c>
      <c r="L46" s="263"/>
      <c r="M46" s="263"/>
    </row>
    <row r="47" spans="1:13" ht="18">
      <c r="A47" s="42" t="s">
        <v>274</v>
      </c>
      <c r="B47" s="466"/>
      <c r="C47" s="466"/>
      <c r="D47" s="466"/>
      <c r="E47" s="466"/>
      <c r="F47" s="466"/>
      <c r="G47" s="466"/>
      <c r="H47" s="466"/>
      <c r="I47" s="466"/>
      <c r="J47" s="466"/>
      <c r="K47" s="273">
        <f t="shared" si="2"/>
        <v>0</v>
      </c>
      <c r="L47" s="263"/>
      <c r="M47" s="263"/>
    </row>
    <row r="48" spans="1:13" ht="18">
      <c r="A48" s="42" t="s">
        <v>737</v>
      </c>
      <c r="B48" s="466">
        <v>1200</v>
      </c>
      <c r="C48" s="466"/>
      <c r="D48" s="466"/>
      <c r="E48" s="466"/>
      <c r="F48" s="466"/>
      <c r="G48" s="466"/>
      <c r="H48" s="466"/>
      <c r="I48" s="466">
        <v>19590</v>
      </c>
      <c r="J48" s="466"/>
      <c r="K48" s="273">
        <f t="shared" si="2"/>
        <v>20790</v>
      </c>
      <c r="L48" s="263"/>
      <c r="M48" s="263"/>
    </row>
    <row r="49" spans="1:13" ht="18">
      <c r="A49" s="42" t="s">
        <v>120</v>
      </c>
      <c r="B49" s="466"/>
      <c r="C49" s="466"/>
      <c r="D49" s="466"/>
      <c r="E49" s="466">
        <v>18890</v>
      </c>
      <c r="F49" s="466"/>
      <c r="G49" s="466"/>
      <c r="H49" s="466"/>
      <c r="I49" s="466"/>
      <c r="J49" s="466"/>
      <c r="K49" s="273">
        <f t="shared" si="2"/>
        <v>18890</v>
      </c>
      <c r="L49" s="263"/>
      <c r="M49" s="263"/>
    </row>
    <row r="50" spans="1:13" ht="18">
      <c r="A50" s="42" t="s">
        <v>275</v>
      </c>
      <c r="B50" s="466"/>
      <c r="C50" s="466"/>
      <c r="D50" s="466"/>
      <c r="E50" s="466"/>
      <c r="F50" s="466"/>
      <c r="G50" s="466"/>
      <c r="H50" s="466"/>
      <c r="I50" s="466"/>
      <c r="J50" s="466"/>
      <c r="K50" s="273">
        <f t="shared" si="2"/>
        <v>0</v>
      </c>
      <c r="L50" s="263"/>
      <c r="M50" s="263"/>
    </row>
    <row r="51" spans="1:13" ht="18">
      <c r="A51" s="42" t="s">
        <v>228</v>
      </c>
      <c r="B51" s="466">
        <v>16580</v>
      </c>
      <c r="C51" s="466">
        <v>9570</v>
      </c>
      <c r="D51" s="466"/>
      <c r="E51" s="466">
        <v>2700</v>
      </c>
      <c r="F51" s="466"/>
      <c r="G51" s="466"/>
      <c r="H51" s="466">
        <v>14700</v>
      </c>
      <c r="I51" s="466"/>
      <c r="J51" s="466"/>
      <c r="K51" s="273">
        <f t="shared" si="2"/>
        <v>43550</v>
      </c>
      <c r="L51" s="263"/>
      <c r="M51" s="263"/>
    </row>
    <row r="52" spans="1:13" ht="18">
      <c r="A52" s="42" t="s">
        <v>276</v>
      </c>
      <c r="B52" s="466"/>
      <c r="C52" s="466"/>
      <c r="D52" s="466"/>
      <c r="E52" s="466"/>
      <c r="F52" s="466"/>
      <c r="G52" s="466"/>
      <c r="H52" s="466"/>
      <c r="I52" s="466"/>
      <c r="J52" s="466"/>
      <c r="K52" s="273">
        <f t="shared" si="2"/>
        <v>0</v>
      </c>
      <c r="L52" s="263"/>
      <c r="M52" s="263"/>
    </row>
    <row r="53" spans="1:13" ht="18">
      <c r="A53" s="42" t="s">
        <v>298</v>
      </c>
      <c r="B53" s="466"/>
      <c r="C53" s="466"/>
      <c r="D53" s="466"/>
      <c r="E53" s="466"/>
      <c r="F53" s="466"/>
      <c r="G53" s="466"/>
      <c r="H53" s="466"/>
      <c r="I53" s="466"/>
      <c r="J53" s="466"/>
      <c r="K53" s="273">
        <f t="shared" si="2"/>
        <v>0</v>
      </c>
      <c r="L53" s="263"/>
      <c r="M53" s="263"/>
    </row>
    <row r="54" spans="1:13" ht="18">
      <c r="A54" s="42" t="s">
        <v>299</v>
      </c>
      <c r="B54" s="466"/>
      <c r="C54" s="466"/>
      <c r="D54" s="466"/>
      <c r="E54" s="466">
        <f>252825.3+340173.7</f>
        <v>592999</v>
      </c>
      <c r="F54" s="466"/>
      <c r="G54" s="466"/>
      <c r="H54" s="466"/>
      <c r="I54" s="466"/>
      <c r="J54" s="466"/>
      <c r="K54" s="273">
        <f t="shared" si="2"/>
        <v>592999</v>
      </c>
      <c r="L54" s="263"/>
      <c r="M54" s="263"/>
    </row>
    <row r="55" spans="1:13" ht="18">
      <c r="A55" s="253" t="s">
        <v>113</v>
      </c>
      <c r="B55" s="467">
        <f>SUM(B40:B54)</f>
        <v>175745.55</v>
      </c>
      <c r="C55" s="467">
        <f>SUM(C40:C54)</f>
        <v>30045</v>
      </c>
      <c r="D55" s="467"/>
      <c r="E55" s="467">
        <f>SUM(E40:E54)</f>
        <v>699254</v>
      </c>
      <c r="F55" s="467">
        <f>SUM(F40:F54)</f>
        <v>215581.90000000002</v>
      </c>
      <c r="G55" s="467"/>
      <c r="H55" s="467">
        <f>SUM(H40:H54)</f>
        <v>283272.14</v>
      </c>
      <c r="I55" s="467">
        <f>SUM(I40:I54)</f>
        <v>19590</v>
      </c>
      <c r="J55" s="467"/>
      <c r="K55" s="254">
        <f>SUM(B55:J55)</f>
        <v>1423488.5900000003</v>
      </c>
      <c r="M55" s="255"/>
    </row>
    <row r="56" spans="1:13" ht="18">
      <c r="A56" s="253" t="s">
        <v>114</v>
      </c>
      <c r="B56" s="467">
        <f>134838.55+23966+13035.1+34044.2+129910+36573.95+175745.55</f>
        <v>548113.35</v>
      </c>
      <c r="C56" s="467">
        <f>66052.15+5178+6979+9656.25+14513.5+30045</f>
        <v>132423.9</v>
      </c>
      <c r="D56" s="467"/>
      <c r="E56" s="467">
        <f>137412.9+270953+401648.1+8500+12700+699254</f>
        <v>1530468</v>
      </c>
      <c r="F56" s="467">
        <f>336011.55+53636+82654.1+56140.5+49999+37500+215581.9</f>
        <v>831523.05</v>
      </c>
      <c r="G56" s="467"/>
      <c r="H56" s="467">
        <f>103790+69473+30480+43871+14156.5+5930+150085.9+283272.14</f>
        <v>701058.54</v>
      </c>
      <c r="I56" s="467">
        <f>16350+15900+7240+19590</f>
        <v>59080</v>
      </c>
      <c r="J56" s="467"/>
      <c r="K56" s="254">
        <f>SUM(B56:J56)</f>
        <v>3802666.84</v>
      </c>
      <c r="M56" s="255"/>
    </row>
    <row r="57" spans="1:12" ht="18">
      <c r="A57" s="468" t="s">
        <v>33</v>
      </c>
      <c r="B57" s="469"/>
      <c r="C57" s="469"/>
      <c r="D57" s="469"/>
      <c r="E57" s="469"/>
      <c r="F57" s="469"/>
      <c r="G57" s="469"/>
      <c r="H57" s="469"/>
      <c r="I57" s="469"/>
      <c r="J57" s="469"/>
      <c r="K57" s="470"/>
      <c r="L57" s="263"/>
    </row>
    <row r="58" spans="1:12" ht="18">
      <c r="A58" s="42" t="s">
        <v>121</v>
      </c>
      <c r="B58" s="466">
        <f>26427.46+17916.51</f>
        <v>44343.97</v>
      </c>
      <c r="C58" s="466"/>
      <c r="D58" s="466"/>
      <c r="E58" s="466"/>
      <c r="F58" s="466"/>
      <c r="G58" s="466"/>
      <c r="H58" s="466"/>
      <c r="I58" s="466"/>
      <c r="J58" s="466"/>
      <c r="K58" s="273">
        <f aca="true" t="shared" si="3" ref="K58:K63">SUM(B58:J58)</f>
        <v>44343.97</v>
      </c>
      <c r="L58" s="263"/>
    </row>
    <row r="59" spans="1:12" ht="18">
      <c r="A59" s="42" t="s">
        <v>122</v>
      </c>
      <c r="B59" s="466">
        <f>1638.67+1209.1+107+1250.83+1652.5+119.84</f>
        <v>5977.9400000000005</v>
      </c>
      <c r="C59" s="466"/>
      <c r="D59" s="466"/>
      <c r="E59" s="466"/>
      <c r="F59" s="466"/>
      <c r="G59" s="466"/>
      <c r="H59" s="466"/>
      <c r="I59" s="466"/>
      <c r="J59" s="466"/>
      <c r="K59" s="273">
        <f t="shared" si="3"/>
        <v>5977.9400000000005</v>
      </c>
      <c r="L59" s="263"/>
    </row>
    <row r="60" spans="1:12" ht="18">
      <c r="A60" s="42" t="s">
        <v>224</v>
      </c>
      <c r="B60" s="466"/>
      <c r="C60" s="466">
        <v>667</v>
      </c>
      <c r="D60" s="466"/>
      <c r="E60" s="466"/>
      <c r="F60" s="466"/>
      <c r="G60" s="466"/>
      <c r="H60" s="466"/>
      <c r="I60" s="466"/>
      <c r="J60" s="466"/>
      <c r="K60" s="273">
        <f t="shared" si="3"/>
        <v>667</v>
      </c>
      <c r="L60" s="263"/>
    </row>
    <row r="61" spans="1:12" ht="18">
      <c r="A61" s="471" t="s">
        <v>123</v>
      </c>
      <c r="B61" s="472">
        <v>1594.3</v>
      </c>
      <c r="C61" s="472"/>
      <c r="D61" s="472"/>
      <c r="E61" s="472"/>
      <c r="F61" s="472"/>
      <c r="G61" s="472"/>
      <c r="H61" s="472"/>
      <c r="I61" s="472"/>
      <c r="J61" s="466"/>
      <c r="K61" s="273">
        <f t="shared" si="3"/>
        <v>1594.3</v>
      </c>
      <c r="L61" s="263"/>
    </row>
    <row r="62" spans="1:11" ht="18">
      <c r="A62" s="253" t="s">
        <v>113</v>
      </c>
      <c r="B62" s="467">
        <f>SUM(B58:B61)</f>
        <v>51916.21000000001</v>
      </c>
      <c r="C62" s="467">
        <f>SUM(C59:C61)</f>
        <v>667</v>
      </c>
      <c r="D62" s="467"/>
      <c r="E62" s="467"/>
      <c r="F62" s="467"/>
      <c r="G62" s="467"/>
      <c r="H62" s="467"/>
      <c r="I62" s="467"/>
      <c r="J62" s="467"/>
      <c r="K62" s="254">
        <f t="shared" si="3"/>
        <v>52583.21000000001</v>
      </c>
    </row>
    <row r="63" spans="1:11" ht="18">
      <c r="A63" s="256" t="s">
        <v>114</v>
      </c>
      <c r="B63" s="472">
        <f>124869.06+28029.26+784.45+76637.59+22296.1+51916.21</f>
        <v>304532.67000000004</v>
      </c>
      <c r="C63" s="472">
        <f>3837+399+742+667</f>
        <v>5645</v>
      </c>
      <c r="D63" s="472"/>
      <c r="E63" s="472"/>
      <c r="F63" s="472"/>
      <c r="G63" s="472"/>
      <c r="H63" s="472"/>
      <c r="I63" s="472"/>
      <c r="J63" s="472"/>
      <c r="K63" s="257">
        <f t="shared" si="3"/>
        <v>310177.67000000004</v>
      </c>
    </row>
    <row r="64" spans="1:11" ht="18">
      <c r="A64" s="481" t="s">
        <v>16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70"/>
    </row>
    <row r="65" spans="1:12" ht="18">
      <c r="A65" s="471" t="s">
        <v>124</v>
      </c>
      <c r="B65" s="472"/>
      <c r="C65" s="472"/>
      <c r="D65" s="472"/>
      <c r="E65" s="472"/>
      <c r="F65" s="472">
        <v>120000</v>
      </c>
      <c r="G65" s="472"/>
      <c r="H65" s="472"/>
      <c r="I65" s="472"/>
      <c r="J65" s="472"/>
      <c r="K65" s="257">
        <f>SUM(B65:J65)</f>
        <v>120000</v>
      </c>
      <c r="L65" s="263"/>
    </row>
    <row r="66" spans="1:11" ht="18">
      <c r="A66" s="482" t="s">
        <v>113</v>
      </c>
      <c r="B66" s="483"/>
      <c r="C66" s="483"/>
      <c r="D66" s="483"/>
      <c r="E66" s="483">
        <f>SUM(E65)</f>
        <v>0</v>
      </c>
      <c r="F66" s="483">
        <f>SUM(F65)</f>
        <v>120000</v>
      </c>
      <c r="G66" s="483"/>
      <c r="H66" s="483">
        <f>SUM(H65)</f>
        <v>0</v>
      </c>
      <c r="I66" s="483"/>
      <c r="J66" s="483"/>
      <c r="K66" s="484">
        <f>SUM(B66:J66)</f>
        <v>120000</v>
      </c>
    </row>
    <row r="67" spans="1:14" ht="18">
      <c r="A67" s="256" t="s">
        <v>114</v>
      </c>
      <c r="B67" s="472"/>
      <c r="C67" s="472"/>
      <c r="D67" s="472"/>
      <c r="E67" s="472">
        <f>845000+50000+845000</f>
        <v>1740000</v>
      </c>
      <c r="F67" s="472">
        <v>120000</v>
      </c>
      <c r="G67" s="472"/>
      <c r="H67" s="472">
        <f>201909.42+4981.02</f>
        <v>206890.44</v>
      </c>
      <c r="I67" s="472"/>
      <c r="J67" s="472"/>
      <c r="K67" s="257">
        <f>SUM(B67:J67)</f>
        <v>2066890.44</v>
      </c>
      <c r="N67" s="255"/>
    </row>
    <row r="68" spans="1:14" ht="18">
      <c r="A68" s="481" t="s">
        <v>34</v>
      </c>
      <c r="B68" s="469"/>
      <c r="C68" s="469"/>
      <c r="D68" s="469"/>
      <c r="E68" s="469"/>
      <c r="F68" s="469"/>
      <c r="G68" s="469"/>
      <c r="H68" s="469"/>
      <c r="I68" s="469"/>
      <c r="J68" s="469"/>
      <c r="K68" s="470"/>
      <c r="N68" s="255"/>
    </row>
    <row r="69" spans="1:12" ht="18">
      <c r="A69" s="471" t="s">
        <v>125</v>
      </c>
      <c r="B69" s="472"/>
      <c r="C69" s="472">
        <v>4300</v>
      </c>
      <c r="D69" s="472"/>
      <c r="E69" s="472"/>
      <c r="F69" s="472"/>
      <c r="G69" s="472"/>
      <c r="H69" s="472"/>
      <c r="I69" s="472"/>
      <c r="J69" s="472"/>
      <c r="K69" s="257">
        <f>SUM(B69:J69)</f>
        <v>4300</v>
      </c>
      <c r="L69" s="263"/>
    </row>
    <row r="70" spans="1:11" ht="18">
      <c r="A70" s="253" t="s">
        <v>113</v>
      </c>
      <c r="B70" s="467"/>
      <c r="C70" s="467">
        <f>SUM(C69)</f>
        <v>4300</v>
      </c>
      <c r="D70" s="467"/>
      <c r="E70" s="467"/>
      <c r="F70" s="467"/>
      <c r="G70" s="472"/>
      <c r="H70" s="472"/>
      <c r="I70" s="472"/>
      <c r="J70" s="467"/>
      <c r="K70" s="257">
        <f>SUM(B70:J70)</f>
        <v>4300</v>
      </c>
    </row>
    <row r="71" spans="1:11" ht="18">
      <c r="A71" s="253" t="s">
        <v>114</v>
      </c>
      <c r="B71" s="467">
        <f>164900</f>
        <v>164900</v>
      </c>
      <c r="C71" s="467">
        <v>4300</v>
      </c>
      <c r="D71" s="467"/>
      <c r="E71" s="467"/>
      <c r="F71" s="467"/>
      <c r="G71" s="467"/>
      <c r="H71" s="467"/>
      <c r="I71" s="467"/>
      <c r="J71" s="467"/>
      <c r="K71" s="254">
        <f>SUM(B71:J71)</f>
        <v>169200</v>
      </c>
    </row>
    <row r="72" spans="1:12" ht="18">
      <c r="A72" s="468" t="s">
        <v>35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  <c r="L72" s="263"/>
    </row>
    <row r="73" spans="1:12" ht="18">
      <c r="A73" s="471" t="s">
        <v>126</v>
      </c>
      <c r="B73" s="472"/>
      <c r="C73" s="472"/>
      <c r="D73" s="472"/>
      <c r="E73" s="472"/>
      <c r="F73" s="472"/>
      <c r="G73" s="472"/>
      <c r="H73" s="472">
        <v>2380200</v>
      </c>
      <c r="I73" s="472"/>
      <c r="J73" s="472"/>
      <c r="K73" s="257">
        <f>SUM(B73:J73)</f>
        <v>2380200</v>
      </c>
      <c r="L73" s="263"/>
    </row>
    <row r="74" spans="1:11" ht="18">
      <c r="A74" s="253" t="s">
        <v>113</v>
      </c>
      <c r="B74" s="467"/>
      <c r="C74" s="467"/>
      <c r="D74" s="467"/>
      <c r="E74" s="467"/>
      <c r="F74" s="467"/>
      <c r="G74" s="472"/>
      <c r="H74" s="472">
        <f>SUM(H73)</f>
        <v>2380200</v>
      </c>
      <c r="I74" s="472"/>
      <c r="J74" s="467"/>
      <c r="K74" s="254">
        <f>SUM(B74:J74)</f>
        <v>2380200</v>
      </c>
    </row>
    <row r="75" spans="1:11" ht="18">
      <c r="A75" s="482" t="s">
        <v>114</v>
      </c>
      <c r="B75" s="483"/>
      <c r="C75" s="483"/>
      <c r="D75" s="483"/>
      <c r="E75" s="483"/>
      <c r="F75" s="483"/>
      <c r="G75" s="483"/>
      <c r="H75" s="483">
        <v>2380200</v>
      </c>
      <c r="I75" s="483"/>
      <c r="J75" s="483"/>
      <c r="K75" s="484">
        <v>2380200</v>
      </c>
    </row>
    <row r="76" spans="1:11" ht="18">
      <c r="A76" s="264"/>
      <c r="B76" s="480"/>
      <c r="C76" s="480"/>
      <c r="D76" s="480"/>
      <c r="E76" s="480"/>
      <c r="F76" s="480"/>
      <c r="G76" s="480"/>
      <c r="H76" s="480"/>
      <c r="I76" s="480"/>
      <c r="J76" s="480"/>
      <c r="K76" s="265"/>
    </row>
    <row r="77" spans="1:11" ht="18">
      <c r="A77" s="264"/>
      <c r="B77" s="480"/>
      <c r="C77" s="480"/>
      <c r="D77" s="480"/>
      <c r="E77" s="480"/>
      <c r="F77" s="480"/>
      <c r="G77" s="480"/>
      <c r="H77" s="480"/>
      <c r="I77" s="480"/>
      <c r="J77" s="480"/>
      <c r="K77" s="265"/>
    </row>
    <row r="78" spans="1:11" ht="18">
      <c r="A78" s="264"/>
      <c r="B78" s="480"/>
      <c r="C78" s="480"/>
      <c r="D78" s="480"/>
      <c r="E78" s="480"/>
      <c r="F78" s="480"/>
      <c r="G78" s="480"/>
      <c r="H78" s="480"/>
      <c r="I78" s="480"/>
      <c r="J78" s="480"/>
      <c r="K78" s="265"/>
    </row>
    <row r="79" spans="1:11" ht="18">
      <c r="A79" s="264"/>
      <c r="B79" s="480"/>
      <c r="C79" s="480"/>
      <c r="D79" s="480"/>
      <c r="E79" s="480"/>
      <c r="F79" s="480"/>
      <c r="G79" s="480"/>
      <c r="H79" s="480"/>
      <c r="I79" s="480"/>
      <c r="J79" s="480"/>
      <c r="K79" s="265"/>
    </row>
    <row r="80" spans="1:11" ht="18">
      <c r="A80" s="264"/>
      <c r="B80" s="480"/>
      <c r="C80" s="480"/>
      <c r="D80" s="480"/>
      <c r="E80" s="480"/>
      <c r="F80" s="480"/>
      <c r="G80" s="480"/>
      <c r="H80" s="480"/>
      <c r="I80" s="480"/>
      <c r="J80" s="480"/>
      <c r="K80" s="265"/>
    </row>
    <row r="81" spans="1:11" ht="21.75" customHeight="1">
      <c r="A81" s="660" t="s">
        <v>225</v>
      </c>
      <c r="B81" s="660"/>
      <c r="C81" s="485"/>
      <c r="D81" s="659"/>
      <c r="E81" s="659"/>
      <c r="F81" s="659"/>
      <c r="G81" s="486" t="s">
        <v>277</v>
      </c>
      <c r="H81" s="661"/>
      <c r="I81" s="661"/>
      <c r="J81" s="661"/>
      <c r="K81" s="661"/>
    </row>
    <row r="82" spans="1:11" ht="21.75" customHeight="1">
      <c r="A82" s="660" t="s">
        <v>651</v>
      </c>
      <c r="B82" s="660"/>
      <c r="C82" s="485"/>
      <c r="D82" s="659"/>
      <c r="E82" s="659"/>
      <c r="F82" s="659"/>
      <c r="G82" s="487"/>
      <c r="H82" s="629"/>
      <c r="I82" s="629"/>
      <c r="J82" s="629"/>
      <c r="K82" s="629"/>
    </row>
    <row r="83" spans="1:12" ht="21.75" customHeight="1">
      <c r="A83" s="660" t="s">
        <v>661</v>
      </c>
      <c r="B83" s="660"/>
      <c r="C83" s="485"/>
      <c r="D83" s="488"/>
      <c r="E83" s="489"/>
      <c r="F83" s="489"/>
      <c r="G83" s="490"/>
      <c r="H83" s="629"/>
      <c r="I83" s="629"/>
      <c r="J83" s="629"/>
      <c r="K83" s="629"/>
      <c r="L83" s="491"/>
    </row>
    <row r="84" spans="1:11" ht="21.75" customHeight="1">
      <c r="A84" s="659"/>
      <c r="B84" s="659"/>
      <c r="F84" s="491"/>
      <c r="G84" s="491"/>
      <c r="H84" s="629"/>
      <c r="I84" s="629"/>
      <c r="J84" s="629"/>
      <c r="K84" s="629"/>
    </row>
    <row r="85" spans="4:10" ht="18">
      <c r="D85" s="488"/>
      <c r="G85" s="488"/>
      <c r="I85" s="488"/>
      <c r="J85" s="488"/>
    </row>
    <row r="86" spans="4:10" ht="18">
      <c r="D86" s="488"/>
      <c r="G86" s="488"/>
      <c r="I86" s="488"/>
      <c r="J86" s="488"/>
    </row>
    <row r="87" spans="4:10" ht="18">
      <c r="D87" s="488"/>
      <c r="G87" s="488"/>
      <c r="I87" s="488"/>
      <c r="J87" s="488"/>
    </row>
    <row r="88" spans="4:10" ht="18">
      <c r="D88" s="488"/>
      <c r="G88" s="488"/>
      <c r="I88" s="488"/>
      <c r="J88" s="488"/>
    </row>
    <row r="89" spans="4:10" ht="18">
      <c r="D89" s="488"/>
      <c r="G89" s="488"/>
      <c r="I89" s="488"/>
      <c r="J89" s="488"/>
    </row>
    <row r="90" spans="4:10" ht="18">
      <c r="D90" s="488"/>
      <c r="G90" s="488"/>
      <c r="I90" s="488"/>
      <c r="J90" s="488"/>
    </row>
    <row r="91" spans="4:10" ht="18">
      <c r="D91" s="488"/>
      <c r="G91" s="488"/>
      <c r="I91" s="488"/>
      <c r="J91" s="488"/>
    </row>
    <row r="92" spans="4:10" ht="18">
      <c r="D92" s="488"/>
      <c r="G92" s="488"/>
      <c r="I92" s="488"/>
      <c r="J92" s="488"/>
    </row>
    <row r="93" spans="4:10" ht="18">
      <c r="D93" s="488"/>
      <c r="G93" s="488"/>
      <c r="I93" s="488"/>
      <c r="J93" s="488"/>
    </row>
    <row r="94" spans="4:10" ht="18">
      <c r="D94" s="488"/>
      <c r="G94" s="488"/>
      <c r="I94" s="488"/>
      <c r="J94" s="488"/>
    </row>
    <row r="95" spans="4:10" ht="18">
      <c r="D95" s="488"/>
      <c r="G95" s="488"/>
      <c r="I95" s="488"/>
      <c r="J95" s="488"/>
    </row>
    <row r="96" spans="4:10" ht="18">
      <c r="D96" s="488"/>
      <c r="G96" s="488"/>
      <c r="I96" s="488"/>
      <c r="J96" s="488"/>
    </row>
    <row r="97" spans="4:10" ht="18">
      <c r="D97" s="488"/>
      <c r="G97" s="488"/>
      <c r="I97" s="488"/>
      <c r="J97" s="488"/>
    </row>
    <row r="98" spans="4:10" ht="18">
      <c r="D98" s="488"/>
      <c r="G98" s="488"/>
      <c r="I98" s="488"/>
      <c r="J98" s="488"/>
    </row>
    <row r="99" spans="4:10" ht="18">
      <c r="D99" s="488"/>
      <c r="G99" s="488"/>
      <c r="I99" s="488"/>
      <c r="J99" s="488"/>
    </row>
    <row r="100" spans="4:10" ht="18">
      <c r="D100" s="488"/>
      <c r="G100" s="488"/>
      <c r="I100" s="488"/>
      <c r="J100" s="488"/>
    </row>
    <row r="101" spans="4:10" ht="18">
      <c r="D101" s="488"/>
      <c r="G101" s="488"/>
      <c r="I101" s="488"/>
      <c r="J101" s="488"/>
    </row>
    <row r="102" spans="4:10" ht="18">
      <c r="D102" s="488"/>
      <c r="G102" s="488"/>
      <c r="I102" s="488"/>
      <c r="J102" s="488"/>
    </row>
    <row r="103" spans="4:10" ht="18">
      <c r="D103" s="488"/>
      <c r="G103" s="488"/>
      <c r="I103" s="488"/>
      <c r="J103" s="488"/>
    </row>
    <row r="104" spans="4:10" ht="18">
      <c r="D104" s="488"/>
      <c r="G104" s="488"/>
      <c r="I104" s="488"/>
      <c r="J104" s="488"/>
    </row>
    <row r="105" spans="4:10" ht="18">
      <c r="D105" s="488"/>
      <c r="G105" s="488"/>
      <c r="I105" s="488"/>
      <c r="J105" s="488"/>
    </row>
    <row r="106" spans="4:10" ht="18">
      <c r="D106" s="488"/>
      <c r="G106" s="488"/>
      <c r="I106" s="488"/>
      <c r="J106" s="488"/>
    </row>
    <row r="107" spans="4:10" ht="18">
      <c r="D107" s="488"/>
      <c r="E107" s="493"/>
      <c r="G107" s="488"/>
      <c r="I107" s="488"/>
      <c r="J107" s="488"/>
    </row>
    <row r="108" spans="4:10" ht="18">
      <c r="D108" s="488"/>
      <c r="G108" s="488"/>
      <c r="I108" s="488"/>
      <c r="J108" s="488"/>
    </row>
    <row r="109" spans="4:10" ht="18">
      <c r="D109" s="488"/>
      <c r="G109" s="488"/>
      <c r="I109" s="488"/>
      <c r="J109" s="488"/>
    </row>
    <row r="110" spans="4:10" ht="18">
      <c r="D110" s="488"/>
      <c r="G110" s="488"/>
      <c r="I110" s="488"/>
      <c r="J110" s="488"/>
    </row>
    <row r="111" spans="4:10" ht="18">
      <c r="D111" s="488"/>
      <c r="G111" s="488"/>
      <c r="I111" s="488"/>
      <c r="J111" s="488"/>
    </row>
    <row r="112" spans="4:10" ht="18">
      <c r="D112" s="488"/>
      <c r="G112" s="488"/>
      <c r="I112" s="488"/>
      <c r="J112" s="488"/>
    </row>
    <row r="113" spans="4:10" ht="18">
      <c r="D113" s="488"/>
      <c r="G113" s="488"/>
      <c r="I113" s="488"/>
      <c r="J113" s="488"/>
    </row>
    <row r="114" spans="4:10" ht="18">
      <c r="D114" s="488"/>
      <c r="G114" s="488"/>
      <c r="I114" s="488"/>
      <c r="J114" s="488"/>
    </row>
    <row r="115" spans="4:10" ht="18">
      <c r="D115" s="488"/>
      <c r="G115" s="488"/>
      <c r="I115" s="488"/>
      <c r="J115" s="488"/>
    </row>
    <row r="116" spans="4:10" ht="18">
      <c r="D116" s="488"/>
      <c r="G116" s="488"/>
      <c r="I116" s="488"/>
      <c r="J116" s="488"/>
    </row>
    <row r="117" spans="4:10" ht="18">
      <c r="D117" s="488"/>
      <c r="G117" s="488"/>
      <c r="I117" s="488"/>
      <c r="J117" s="488"/>
    </row>
    <row r="118" spans="4:10" ht="18">
      <c r="D118" s="488"/>
      <c r="G118" s="488"/>
      <c r="I118" s="488"/>
      <c r="J118" s="488"/>
    </row>
    <row r="119" spans="4:10" ht="18">
      <c r="D119" s="488"/>
      <c r="G119" s="488"/>
      <c r="I119" s="488"/>
      <c r="J119" s="488"/>
    </row>
    <row r="120" spans="4:10" ht="18">
      <c r="D120" s="488"/>
      <c r="G120" s="488"/>
      <c r="I120" s="488"/>
      <c r="J120" s="488"/>
    </row>
    <row r="121" spans="4:10" ht="18">
      <c r="D121" s="488"/>
      <c r="G121" s="488"/>
      <c r="I121" s="488"/>
      <c r="J121" s="488"/>
    </row>
    <row r="122" spans="4:10" ht="18">
      <c r="D122" s="488"/>
      <c r="G122" s="488"/>
      <c r="I122" s="488"/>
      <c r="J122" s="488"/>
    </row>
    <row r="123" spans="4:10" ht="18">
      <c r="D123" s="488"/>
      <c r="G123" s="488"/>
      <c r="I123" s="488"/>
      <c r="J123" s="488"/>
    </row>
    <row r="124" spans="4:10" ht="18">
      <c r="D124" s="488"/>
      <c r="G124" s="488"/>
      <c r="I124" s="488"/>
      <c r="J124" s="488"/>
    </row>
    <row r="125" spans="4:10" ht="18">
      <c r="D125" s="488"/>
      <c r="G125" s="488"/>
      <c r="I125" s="488"/>
      <c r="J125" s="488"/>
    </row>
    <row r="126" spans="4:10" ht="18">
      <c r="D126" s="488"/>
      <c r="G126" s="488"/>
      <c r="I126" s="488"/>
      <c r="J126" s="488"/>
    </row>
    <row r="127" spans="4:10" ht="18">
      <c r="D127" s="488"/>
      <c r="G127" s="488"/>
      <c r="I127" s="488"/>
      <c r="J127" s="488"/>
    </row>
    <row r="128" spans="4:10" ht="18">
      <c r="D128" s="488"/>
      <c r="G128" s="488"/>
      <c r="I128" s="488"/>
      <c r="J128" s="488"/>
    </row>
    <row r="129" spans="4:10" ht="18">
      <c r="D129" s="488"/>
      <c r="G129" s="488"/>
      <c r="I129" s="488"/>
      <c r="J129" s="488"/>
    </row>
    <row r="130" spans="4:10" ht="18">
      <c r="D130" s="488"/>
      <c r="G130" s="488"/>
      <c r="I130" s="488"/>
      <c r="J130" s="488"/>
    </row>
    <row r="131" spans="4:10" ht="18">
      <c r="D131" s="488"/>
      <c r="G131" s="488"/>
      <c r="I131" s="488"/>
      <c r="J131" s="488"/>
    </row>
    <row r="132" spans="4:10" ht="18">
      <c r="D132" s="488"/>
      <c r="G132" s="488"/>
      <c r="I132" s="488"/>
      <c r="J132" s="488"/>
    </row>
    <row r="133" spans="4:10" ht="18">
      <c r="D133" s="488"/>
      <c r="G133" s="488"/>
      <c r="I133" s="488"/>
      <c r="J133" s="488"/>
    </row>
    <row r="134" spans="4:10" ht="18">
      <c r="D134" s="488"/>
      <c r="G134" s="488"/>
      <c r="I134" s="488"/>
      <c r="J134" s="488"/>
    </row>
    <row r="135" spans="4:10" ht="18">
      <c r="D135" s="488"/>
      <c r="G135" s="488"/>
      <c r="I135" s="488"/>
      <c r="J135" s="488"/>
    </row>
    <row r="136" spans="4:10" ht="18">
      <c r="D136" s="488"/>
      <c r="G136" s="488"/>
      <c r="I136" s="488"/>
      <c r="J136" s="488"/>
    </row>
    <row r="137" spans="4:10" ht="18">
      <c r="D137" s="488"/>
      <c r="G137" s="488"/>
      <c r="I137" s="488"/>
      <c r="J137" s="488"/>
    </row>
    <row r="138" spans="4:10" ht="18">
      <c r="D138" s="488"/>
      <c r="G138" s="488"/>
      <c r="I138" s="488"/>
      <c r="J138" s="488"/>
    </row>
    <row r="139" spans="4:10" ht="18">
      <c r="D139" s="488"/>
      <c r="G139" s="488"/>
      <c r="I139" s="488"/>
      <c r="J139" s="488"/>
    </row>
    <row r="140" spans="4:10" ht="18">
      <c r="D140" s="488"/>
      <c r="G140" s="488"/>
      <c r="I140" s="488"/>
      <c r="J140" s="488"/>
    </row>
    <row r="141" spans="4:10" ht="18">
      <c r="D141" s="488"/>
      <c r="G141" s="488"/>
      <c r="I141" s="488"/>
      <c r="J141" s="488"/>
    </row>
    <row r="142" spans="4:10" ht="18">
      <c r="D142" s="488"/>
      <c r="G142" s="488"/>
      <c r="I142" s="488"/>
      <c r="J142" s="488"/>
    </row>
    <row r="143" spans="4:10" ht="18">
      <c r="D143" s="488"/>
      <c r="G143" s="488"/>
      <c r="I143" s="488"/>
      <c r="J143" s="488"/>
    </row>
    <row r="144" spans="4:10" ht="18">
      <c r="D144" s="488"/>
      <c r="G144" s="488"/>
      <c r="I144" s="488"/>
      <c r="J144" s="488"/>
    </row>
    <row r="145" spans="4:10" ht="18">
      <c r="D145" s="488"/>
      <c r="G145" s="488"/>
      <c r="I145" s="488"/>
      <c r="J145" s="488"/>
    </row>
    <row r="146" spans="4:10" ht="18">
      <c r="D146" s="488"/>
      <c r="G146" s="488"/>
      <c r="I146" s="488"/>
      <c r="J146" s="488"/>
    </row>
    <row r="147" spans="4:10" ht="18">
      <c r="D147" s="488"/>
      <c r="G147" s="488"/>
      <c r="I147" s="488"/>
      <c r="J147" s="488"/>
    </row>
    <row r="148" spans="4:10" ht="18">
      <c r="D148" s="488"/>
      <c r="G148" s="488"/>
      <c r="I148" s="488"/>
      <c r="J148" s="488"/>
    </row>
    <row r="149" spans="4:10" ht="18">
      <c r="D149" s="488"/>
      <c r="G149" s="488"/>
      <c r="I149" s="488"/>
      <c r="J149" s="488"/>
    </row>
    <row r="150" spans="4:10" ht="18">
      <c r="D150" s="488"/>
      <c r="G150" s="488"/>
      <c r="I150" s="488"/>
      <c r="J150" s="488"/>
    </row>
    <row r="151" spans="4:10" ht="18">
      <c r="D151" s="488"/>
      <c r="G151" s="488"/>
      <c r="I151" s="488"/>
      <c r="J151" s="488"/>
    </row>
    <row r="152" spans="4:10" ht="18">
      <c r="D152" s="488"/>
      <c r="G152" s="488"/>
      <c r="I152" s="488"/>
      <c r="J152" s="488"/>
    </row>
    <row r="153" spans="4:10" ht="18">
      <c r="D153" s="488"/>
      <c r="G153" s="488"/>
      <c r="I153" s="488"/>
      <c r="J153" s="488"/>
    </row>
    <row r="154" spans="4:10" ht="18">
      <c r="D154" s="488"/>
      <c r="G154" s="488"/>
      <c r="I154" s="488"/>
      <c r="J154" s="488"/>
    </row>
    <row r="155" spans="4:10" ht="18">
      <c r="D155" s="488"/>
      <c r="G155" s="488"/>
      <c r="I155" s="488"/>
      <c r="J155" s="488"/>
    </row>
    <row r="156" spans="4:10" ht="18">
      <c r="D156" s="488"/>
      <c r="G156" s="488"/>
      <c r="I156" s="488"/>
      <c r="J156" s="488"/>
    </row>
    <row r="157" spans="4:10" ht="18">
      <c r="D157" s="488"/>
      <c r="G157" s="488"/>
      <c r="I157" s="488"/>
      <c r="J157" s="488"/>
    </row>
    <row r="158" spans="4:10" ht="18">
      <c r="D158" s="488"/>
      <c r="G158" s="488"/>
      <c r="I158" s="488"/>
      <c r="J158" s="488"/>
    </row>
    <row r="159" spans="4:10" ht="18">
      <c r="D159" s="488"/>
      <c r="G159" s="488"/>
      <c r="I159" s="488"/>
      <c r="J159" s="488"/>
    </row>
    <row r="160" spans="4:10" ht="18">
      <c r="D160" s="488"/>
      <c r="G160" s="488"/>
      <c r="I160" s="488"/>
      <c r="J160" s="488"/>
    </row>
    <row r="161" spans="4:10" ht="18">
      <c r="D161" s="488"/>
      <c r="G161" s="488"/>
      <c r="I161" s="488"/>
      <c r="J161" s="488"/>
    </row>
    <row r="162" spans="4:10" ht="18">
      <c r="D162" s="488"/>
      <c r="G162" s="488"/>
      <c r="I162" s="488"/>
      <c r="J162" s="488"/>
    </row>
    <row r="163" spans="4:10" ht="18">
      <c r="D163" s="488"/>
      <c r="G163" s="488"/>
      <c r="I163" s="488"/>
      <c r="J163" s="488"/>
    </row>
    <row r="164" spans="4:10" ht="18">
      <c r="D164" s="488"/>
      <c r="G164" s="488"/>
      <c r="I164" s="488"/>
      <c r="J164" s="488"/>
    </row>
  </sheetData>
  <mergeCells count="15">
    <mergeCell ref="A81:B81"/>
    <mergeCell ref="H81:K81"/>
    <mergeCell ref="D81:F81"/>
    <mergeCell ref="A1:K1"/>
    <mergeCell ref="A2:K2"/>
    <mergeCell ref="A3:K3"/>
    <mergeCell ref="B4:C4"/>
    <mergeCell ref="K4:K5"/>
    <mergeCell ref="A84:B84"/>
    <mergeCell ref="H84:K84"/>
    <mergeCell ref="A82:B82"/>
    <mergeCell ref="D82:F82"/>
    <mergeCell ref="H82:K82"/>
    <mergeCell ref="A83:B83"/>
    <mergeCell ref="H83:K83"/>
  </mergeCells>
  <printOptions/>
  <pageMargins left="0.23" right="0.2" top="0.31" bottom="0.25" header="0.24" footer="0.2"/>
  <pageSetup horizontalDpi="300" verticalDpi="300" orientation="landscape" paperSize="9" r:id="rId2"/>
  <headerFooter alignWithMargins="0">
    <oddHeader>&amp;Rหน้าที่ &amp;P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F30" sqref="F30"/>
    </sheetView>
  </sheetViews>
  <sheetFormatPr defaultColWidth="9.140625" defaultRowHeight="21.75"/>
  <cols>
    <col min="1" max="1" width="17.7109375" style="46" customWidth="1"/>
    <col min="2" max="2" width="33.8515625" style="46" customWidth="1"/>
    <col min="3" max="3" width="20.00390625" style="46" customWidth="1"/>
    <col min="4" max="4" width="33.7109375" style="53" customWidth="1"/>
    <col min="5" max="5" width="9.8515625" style="46" bestFit="1" customWidth="1"/>
    <col min="6" max="16384" width="9.140625" style="46" customWidth="1"/>
  </cols>
  <sheetData>
    <row r="1" spans="1:4" ht="23.25">
      <c r="A1" s="43" t="s">
        <v>0</v>
      </c>
      <c r="B1" s="44"/>
      <c r="C1" s="43" t="s">
        <v>738</v>
      </c>
      <c r="D1" s="45"/>
    </row>
    <row r="2" spans="1:4" ht="26.25">
      <c r="A2" s="494" t="s">
        <v>300</v>
      </c>
      <c r="B2" s="495"/>
      <c r="C2" s="47" t="s">
        <v>301</v>
      </c>
      <c r="D2" s="48"/>
    </row>
    <row r="3" spans="1:4" ht="23.25">
      <c r="A3" s="49"/>
      <c r="B3" s="49"/>
      <c r="C3" s="49"/>
      <c r="D3" s="50" t="s">
        <v>3</v>
      </c>
    </row>
    <row r="4" spans="1:4" ht="23.25">
      <c r="A4" s="46" t="s">
        <v>739</v>
      </c>
      <c r="C4" s="51"/>
      <c r="D4" s="52">
        <v>0</v>
      </c>
    </row>
    <row r="5" spans="1:3" ht="23.25">
      <c r="A5" s="46" t="s">
        <v>302</v>
      </c>
      <c r="C5" s="51"/>
    </row>
    <row r="6" spans="1:3" ht="23.25">
      <c r="A6" s="54" t="s">
        <v>303</v>
      </c>
      <c r="B6" s="54" t="s">
        <v>304</v>
      </c>
      <c r="C6" s="55" t="s">
        <v>278</v>
      </c>
    </row>
    <row r="7" spans="1:3" ht="23.25">
      <c r="A7" s="54"/>
      <c r="B7" s="54"/>
      <c r="C7" s="55"/>
    </row>
    <row r="8" spans="1:3" ht="23.25">
      <c r="A8" s="54"/>
      <c r="B8" s="54"/>
      <c r="C8" s="55"/>
    </row>
    <row r="9" spans="1:3" ht="23.25">
      <c r="A9" s="46" t="s">
        <v>305</v>
      </c>
      <c r="C9" s="51"/>
    </row>
    <row r="10" spans="1:3" ht="23.25">
      <c r="A10" s="54" t="s">
        <v>306</v>
      </c>
      <c r="B10" s="54" t="s">
        <v>307</v>
      </c>
      <c r="C10" s="55" t="s">
        <v>278</v>
      </c>
    </row>
    <row r="11" spans="1:4" ht="23.25">
      <c r="A11" s="56"/>
      <c r="B11" s="57"/>
      <c r="C11" s="72"/>
      <c r="D11" s="59"/>
    </row>
    <row r="12" spans="1:4" ht="23.25">
      <c r="A12" s="56"/>
      <c r="B12" s="57"/>
      <c r="C12" s="72"/>
      <c r="D12" s="59"/>
    </row>
    <row r="13" spans="1:4" ht="23.25">
      <c r="A13" s="56"/>
      <c r="B13" s="57"/>
      <c r="C13" s="72"/>
      <c r="D13" s="59"/>
    </row>
    <row r="14" spans="1:4" ht="23.25">
      <c r="A14" s="56"/>
      <c r="B14" s="57"/>
      <c r="C14" s="72"/>
      <c r="D14" s="59"/>
    </row>
    <row r="15" spans="1:4" ht="23.25">
      <c r="A15" s="56"/>
      <c r="B15" s="57"/>
      <c r="C15" s="72"/>
      <c r="D15" s="59"/>
    </row>
    <row r="16" spans="1:4" ht="23.25">
      <c r="A16" s="56"/>
      <c r="B16" s="57"/>
      <c r="C16" s="72"/>
      <c r="D16" s="59"/>
    </row>
    <row r="17" spans="1:4" ht="23.25">
      <c r="A17" s="56"/>
      <c r="B17" s="57"/>
      <c r="C17" s="58"/>
      <c r="D17" s="59"/>
    </row>
    <row r="18" spans="1:3" ht="23.25">
      <c r="A18" s="46" t="s">
        <v>320</v>
      </c>
      <c r="C18" s="60"/>
    </row>
    <row r="19" spans="1:3" ht="23.25">
      <c r="A19" s="54" t="s">
        <v>309</v>
      </c>
      <c r="B19" s="46" t="s">
        <v>310</v>
      </c>
      <c r="C19" s="58"/>
    </row>
    <row r="20" spans="1:3" ht="23.25">
      <c r="A20" s="54" t="s">
        <v>306</v>
      </c>
      <c r="B20" s="54" t="s">
        <v>307</v>
      </c>
      <c r="C20" s="55" t="s">
        <v>278</v>
      </c>
    </row>
    <row r="21" spans="1:4" ht="23.25">
      <c r="A21" s="56"/>
      <c r="B21" s="57"/>
      <c r="C21" s="74"/>
      <c r="D21" s="59"/>
    </row>
    <row r="22" spans="1:4" ht="23.25">
      <c r="A22" s="56"/>
      <c r="B22" s="57"/>
      <c r="C22" s="74"/>
      <c r="D22" s="59"/>
    </row>
    <row r="23" spans="1:4" ht="23.25">
      <c r="A23" s="56"/>
      <c r="B23" s="57"/>
      <c r="C23" s="74"/>
      <c r="D23" s="59"/>
    </row>
    <row r="24" spans="1:4" ht="23.25">
      <c r="A24" s="56"/>
      <c r="B24" s="57"/>
      <c r="C24" s="74"/>
      <c r="D24" s="59"/>
    </row>
    <row r="25" spans="1:3" ht="23.25">
      <c r="A25" s="56"/>
      <c r="B25" s="57"/>
      <c r="C25" s="74"/>
    </row>
    <row r="26" spans="1:4" ht="23.25">
      <c r="A26" s="56"/>
      <c r="B26" s="57"/>
      <c r="C26" s="496"/>
      <c r="D26" s="59"/>
    </row>
    <row r="27" spans="1:5" ht="23.25">
      <c r="A27" s="56"/>
      <c r="B27" s="57"/>
      <c r="C27" s="496"/>
      <c r="D27" s="59"/>
      <c r="E27" s="53"/>
    </row>
    <row r="28" spans="1:7" ht="23.25">
      <c r="A28" s="47" t="s">
        <v>740</v>
      </c>
      <c r="B28" s="47"/>
      <c r="C28" s="60"/>
      <c r="D28" s="52">
        <v>0</v>
      </c>
      <c r="G28" s="53"/>
    </row>
    <row r="29" spans="1:4" ht="23.25">
      <c r="A29" s="46" t="s">
        <v>312</v>
      </c>
      <c r="B29" s="44"/>
      <c r="C29" s="75" t="s">
        <v>313</v>
      </c>
      <c r="D29" s="45"/>
    </row>
    <row r="30" spans="1:4" ht="23.25">
      <c r="A30" s="46" t="s">
        <v>741</v>
      </c>
      <c r="B30" s="51"/>
      <c r="C30" s="64" t="str">
        <f>A30</f>
        <v>ลงชื่อ.......................................วันที่.  30  กันยายน  2555</v>
      </c>
      <c r="D30" s="65"/>
    </row>
    <row r="31" spans="1:4" ht="23.25">
      <c r="A31" s="47" t="s">
        <v>314</v>
      </c>
      <c r="B31" s="66"/>
      <c r="C31" s="67" t="s">
        <v>742</v>
      </c>
      <c r="D31" s="48"/>
    </row>
    <row r="32" ht="23.25">
      <c r="C32" s="53"/>
    </row>
  </sheetData>
  <printOptions/>
  <pageMargins left="0.6" right="0.38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:IV16384"/>
    </sheetView>
  </sheetViews>
  <sheetFormatPr defaultColWidth="9.140625" defaultRowHeight="21.75"/>
  <cols>
    <col min="1" max="1" width="17.7109375" style="46" customWidth="1"/>
    <col min="2" max="2" width="32.00390625" style="46" customWidth="1"/>
    <col min="3" max="3" width="20.57421875" style="53" customWidth="1"/>
    <col min="4" max="4" width="29.8515625" style="53" customWidth="1"/>
    <col min="5" max="5" width="13.8515625" style="343" bestFit="1" customWidth="1"/>
    <col min="6" max="16384" width="9.140625" style="46" customWidth="1"/>
  </cols>
  <sheetData>
    <row r="1" spans="1:4" ht="23.25">
      <c r="A1" s="43" t="s">
        <v>0</v>
      </c>
      <c r="B1" s="44"/>
      <c r="C1" s="45" t="s">
        <v>738</v>
      </c>
      <c r="D1" s="45"/>
    </row>
    <row r="2" spans="1:4" ht="23.25">
      <c r="A2" s="497" t="s">
        <v>300</v>
      </c>
      <c r="B2" s="498"/>
      <c r="C2" s="65" t="s">
        <v>315</v>
      </c>
      <c r="D2" s="65"/>
    </row>
    <row r="3" spans="1:4" ht="23.25">
      <c r="A3" s="43"/>
      <c r="B3" s="43"/>
      <c r="C3" s="499"/>
      <c r="D3" s="70" t="s">
        <v>3</v>
      </c>
    </row>
    <row r="4" spans="1:4" ht="23.25">
      <c r="A4" s="46" t="str">
        <f>'[1]อัมพวัน'!A4</f>
        <v>ยอดเงินคงเหลือตามรายงานธนาคาร ณ วันที่   30  กันยายน   2555</v>
      </c>
      <c r="C4" s="60"/>
      <c r="D4" s="52">
        <v>49507536.36</v>
      </c>
    </row>
    <row r="5" spans="1:3" ht="23.25">
      <c r="A5" s="46" t="s">
        <v>302</v>
      </c>
      <c r="C5" s="60"/>
    </row>
    <row r="6" spans="1:3" ht="23.25">
      <c r="A6" s="54" t="s">
        <v>316</v>
      </c>
      <c r="B6" s="54" t="s">
        <v>304</v>
      </c>
      <c r="C6" s="71" t="s">
        <v>278</v>
      </c>
    </row>
    <row r="7" spans="1:4" ht="23.25">
      <c r="A7" s="46" t="s">
        <v>305</v>
      </c>
      <c r="C7" s="60"/>
      <c r="D7" s="59"/>
    </row>
    <row r="8" spans="1:3" ht="23.25">
      <c r="A8" s="54" t="s">
        <v>306</v>
      </c>
      <c r="B8" s="54" t="s">
        <v>307</v>
      </c>
      <c r="C8" s="71" t="s">
        <v>278</v>
      </c>
    </row>
    <row r="9" spans="1:5" ht="23.25">
      <c r="A9" s="61">
        <v>239478</v>
      </c>
      <c r="B9" s="62">
        <v>31711</v>
      </c>
      <c r="C9" s="63">
        <v>3298.88</v>
      </c>
      <c r="D9" s="59"/>
      <c r="E9" s="46"/>
    </row>
    <row r="10" spans="1:5" ht="23.25">
      <c r="A10" s="61">
        <v>239491</v>
      </c>
      <c r="B10" s="62">
        <v>32747</v>
      </c>
      <c r="C10" s="63">
        <v>3298.88</v>
      </c>
      <c r="D10" s="59"/>
      <c r="E10" s="46"/>
    </row>
    <row r="11" spans="1:5" ht="23.25">
      <c r="A11" s="61">
        <v>239498</v>
      </c>
      <c r="B11" s="62">
        <v>32757</v>
      </c>
      <c r="C11" s="63">
        <v>73958</v>
      </c>
      <c r="D11" s="59"/>
      <c r="E11" s="46"/>
    </row>
    <row r="12" spans="1:5" ht="23.25">
      <c r="A12" s="61">
        <v>239499</v>
      </c>
      <c r="B12" s="62">
        <v>32768</v>
      </c>
      <c r="C12" s="63">
        <v>6439.25</v>
      </c>
      <c r="D12" s="59"/>
      <c r="E12" s="46"/>
    </row>
    <row r="13" spans="1:5" ht="23.25">
      <c r="A13" s="61" t="s">
        <v>311</v>
      </c>
      <c r="B13" s="62">
        <v>32769</v>
      </c>
      <c r="C13" s="63">
        <v>2020</v>
      </c>
      <c r="D13" s="59"/>
      <c r="E13" s="46"/>
    </row>
    <row r="14" spans="1:5" ht="23.25">
      <c r="A14" s="61" t="s">
        <v>311</v>
      </c>
      <c r="B14" s="62">
        <v>32774</v>
      </c>
      <c r="C14" s="63">
        <v>77271.03</v>
      </c>
      <c r="D14" s="59"/>
      <c r="E14" s="46"/>
    </row>
    <row r="15" spans="1:5" ht="23.25">
      <c r="A15" s="61">
        <v>239504</v>
      </c>
      <c r="B15" s="62">
        <v>32781</v>
      </c>
      <c r="C15" s="63">
        <v>2100</v>
      </c>
      <c r="D15" s="59"/>
      <c r="E15" s="46"/>
    </row>
    <row r="16" spans="1:5" ht="23.25">
      <c r="A16" s="61" t="s">
        <v>311</v>
      </c>
      <c r="B16" s="62">
        <v>32782</v>
      </c>
      <c r="C16" s="63">
        <v>6934.58</v>
      </c>
      <c r="D16" s="59"/>
      <c r="E16" s="46"/>
    </row>
    <row r="17" spans="1:5" ht="23.25">
      <c r="A17" s="61" t="s">
        <v>311</v>
      </c>
      <c r="B17" s="62">
        <v>32784</v>
      </c>
      <c r="C17" s="63">
        <v>1239.14</v>
      </c>
      <c r="D17" s="59"/>
      <c r="E17" s="46"/>
    </row>
    <row r="18" spans="1:5" ht="23.25">
      <c r="A18" s="61" t="s">
        <v>311</v>
      </c>
      <c r="B18" s="62">
        <v>32785</v>
      </c>
      <c r="C18" s="63">
        <v>1637.06</v>
      </c>
      <c r="D18" s="59"/>
      <c r="E18" s="46"/>
    </row>
    <row r="19" spans="1:5" ht="23.25">
      <c r="A19" s="61">
        <v>239505</v>
      </c>
      <c r="B19" s="62">
        <v>32788</v>
      </c>
      <c r="C19" s="63">
        <v>9800</v>
      </c>
      <c r="D19" s="59"/>
      <c r="E19" s="46"/>
    </row>
    <row r="20" spans="1:5" ht="23.25">
      <c r="A20" s="61" t="s">
        <v>311</v>
      </c>
      <c r="B20" s="62">
        <v>32790</v>
      </c>
      <c r="C20" s="63">
        <v>7431</v>
      </c>
      <c r="D20" s="59"/>
      <c r="E20" s="46"/>
    </row>
    <row r="21" spans="1:5" ht="23.25">
      <c r="A21" s="61">
        <v>239506</v>
      </c>
      <c r="B21" s="62">
        <v>32792</v>
      </c>
      <c r="C21" s="63">
        <v>3404</v>
      </c>
      <c r="D21" s="59"/>
      <c r="E21" s="46"/>
    </row>
    <row r="22" spans="1:5" ht="23.25">
      <c r="A22" s="61" t="s">
        <v>311</v>
      </c>
      <c r="B22" s="62">
        <v>32793</v>
      </c>
      <c r="C22" s="63">
        <v>5000</v>
      </c>
      <c r="D22" s="59"/>
      <c r="E22" s="46"/>
    </row>
    <row r="23" spans="1:5" ht="23.25">
      <c r="A23" s="61" t="s">
        <v>311</v>
      </c>
      <c r="B23" s="62">
        <v>32794</v>
      </c>
      <c r="C23" s="63">
        <v>15000</v>
      </c>
      <c r="D23" s="59"/>
      <c r="E23" s="46"/>
    </row>
    <row r="24" spans="1:5" ht="23.25">
      <c r="A24" s="61" t="s">
        <v>311</v>
      </c>
      <c r="B24" s="62">
        <v>32795</v>
      </c>
      <c r="C24" s="63">
        <v>10395</v>
      </c>
      <c r="D24" s="59"/>
      <c r="E24" s="46"/>
    </row>
    <row r="25" spans="1:5" ht="23.25">
      <c r="A25" s="61" t="s">
        <v>311</v>
      </c>
      <c r="B25" s="62">
        <v>32796</v>
      </c>
      <c r="C25" s="63">
        <v>17820</v>
      </c>
      <c r="D25" s="59"/>
      <c r="E25" s="46"/>
    </row>
    <row r="26" spans="1:5" ht="23.25">
      <c r="A26" s="61" t="s">
        <v>311</v>
      </c>
      <c r="B26" s="62">
        <v>32797</v>
      </c>
      <c r="C26" s="63">
        <v>5547.66</v>
      </c>
      <c r="D26" s="59"/>
      <c r="E26" s="46"/>
    </row>
    <row r="27" spans="1:5" ht="23.25">
      <c r="A27" s="61" t="s">
        <v>311</v>
      </c>
      <c r="B27" s="62">
        <v>32798</v>
      </c>
      <c r="C27" s="63">
        <v>35976.6</v>
      </c>
      <c r="D27" s="59"/>
      <c r="E27" s="46"/>
    </row>
    <row r="28" spans="1:5" ht="23.25">
      <c r="A28" s="61" t="s">
        <v>311</v>
      </c>
      <c r="B28" s="62">
        <v>32799</v>
      </c>
      <c r="C28" s="63">
        <v>9211.4</v>
      </c>
      <c r="D28" s="59"/>
      <c r="E28" s="46"/>
    </row>
    <row r="29" spans="1:5" ht="23.25">
      <c r="A29" s="61" t="s">
        <v>311</v>
      </c>
      <c r="B29" s="62">
        <v>32800</v>
      </c>
      <c r="C29" s="63">
        <v>48700.84</v>
      </c>
      <c r="D29" s="59"/>
      <c r="E29" s="46"/>
    </row>
    <row r="30" spans="1:5" ht="23.25">
      <c r="A30" s="61" t="s">
        <v>311</v>
      </c>
      <c r="B30" s="62">
        <v>33741</v>
      </c>
      <c r="C30" s="63">
        <v>117819.13</v>
      </c>
      <c r="D30" s="59"/>
      <c r="E30" s="46"/>
    </row>
    <row r="31" spans="1:5" ht="23.25">
      <c r="A31" s="61" t="s">
        <v>311</v>
      </c>
      <c r="B31" s="62">
        <v>33742</v>
      </c>
      <c r="C31" s="63">
        <v>39600</v>
      </c>
      <c r="D31" s="59"/>
      <c r="E31" s="46"/>
    </row>
    <row r="32" spans="1:5" ht="23.25">
      <c r="A32" s="61" t="s">
        <v>311</v>
      </c>
      <c r="B32" s="62">
        <v>33743</v>
      </c>
      <c r="C32" s="63">
        <v>120000</v>
      </c>
      <c r="D32" s="59"/>
      <c r="E32" s="46"/>
    </row>
    <row r="33" spans="1:5" ht="23.25">
      <c r="A33" s="61" t="s">
        <v>311</v>
      </c>
      <c r="B33" s="62">
        <v>33744</v>
      </c>
      <c r="C33" s="63">
        <v>5000</v>
      </c>
      <c r="D33" s="59"/>
      <c r="E33" s="46"/>
    </row>
    <row r="34" spans="1:5" ht="23.25">
      <c r="A34" s="61" t="s">
        <v>311</v>
      </c>
      <c r="B34" s="62">
        <v>33745</v>
      </c>
      <c r="C34" s="63">
        <v>19800</v>
      </c>
      <c r="D34" s="59"/>
      <c r="E34" s="46"/>
    </row>
    <row r="35" spans="1:5" ht="23.25">
      <c r="A35" s="46" t="s">
        <v>305</v>
      </c>
      <c r="C35" s="60"/>
      <c r="D35" s="59"/>
      <c r="E35" s="46"/>
    </row>
    <row r="36" spans="1:5" ht="23.25">
      <c r="A36" s="54" t="s">
        <v>306</v>
      </c>
      <c r="B36" s="54" t="s">
        <v>307</v>
      </c>
      <c r="C36" s="71" t="s">
        <v>278</v>
      </c>
      <c r="D36" s="59"/>
      <c r="E36" s="46"/>
    </row>
    <row r="37" spans="1:5" ht="23.25">
      <c r="A37" s="61" t="s">
        <v>311</v>
      </c>
      <c r="B37" s="62">
        <v>33746</v>
      </c>
      <c r="C37" s="63">
        <v>7500</v>
      </c>
      <c r="D37" s="59"/>
      <c r="E37" s="46"/>
    </row>
    <row r="38" spans="1:5" ht="23.25">
      <c r="A38" s="61" t="s">
        <v>311</v>
      </c>
      <c r="B38" s="62">
        <v>33747</v>
      </c>
      <c r="C38" s="63">
        <v>42075</v>
      </c>
      <c r="D38" s="59"/>
      <c r="E38" s="46"/>
    </row>
    <row r="39" spans="1:5" ht="23.25">
      <c r="A39" s="61" t="s">
        <v>311</v>
      </c>
      <c r="B39" s="62">
        <v>33748</v>
      </c>
      <c r="C39" s="63">
        <v>6000</v>
      </c>
      <c r="D39" s="59"/>
      <c r="E39" s="46"/>
    </row>
    <row r="40" spans="1:5" ht="23.25">
      <c r="A40" s="61" t="s">
        <v>311</v>
      </c>
      <c r="B40" s="62">
        <v>33749</v>
      </c>
      <c r="C40" s="63">
        <v>17916.51</v>
      </c>
      <c r="D40" s="59"/>
      <c r="E40" s="46"/>
    </row>
    <row r="41" spans="1:5" ht="23.25">
      <c r="A41" s="61" t="s">
        <v>311</v>
      </c>
      <c r="B41" s="62">
        <v>33750</v>
      </c>
      <c r="C41" s="63">
        <v>24731.1</v>
      </c>
      <c r="D41" s="59"/>
      <c r="E41" s="46"/>
    </row>
    <row r="42" spans="1:5" ht="23.25">
      <c r="A42" s="61" t="s">
        <v>311</v>
      </c>
      <c r="B42" s="62">
        <v>33751</v>
      </c>
      <c r="C42" s="63">
        <v>15580.37</v>
      </c>
      <c r="D42" s="59"/>
      <c r="E42" s="46"/>
    </row>
    <row r="43" spans="1:5" ht="23.25">
      <c r="A43" s="61" t="s">
        <v>311</v>
      </c>
      <c r="B43" s="62">
        <v>33752</v>
      </c>
      <c r="C43" s="63">
        <v>1902.5</v>
      </c>
      <c r="D43" s="59"/>
      <c r="E43" s="46"/>
    </row>
    <row r="44" spans="1:5" ht="23.25">
      <c r="A44" s="61" t="s">
        <v>311</v>
      </c>
      <c r="B44" s="62">
        <v>33753</v>
      </c>
      <c r="C44" s="63">
        <v>19305</v>
      </c>
      <c r="D44" s="59"/>
      <c r="E44" s="46"/>
    </row>
    <row r="45" spans="1:5" ht="23.25">
      <c r="A45" s="61" t="s">
        <v>311</v>
      </c>
      <c r="B45" s="62">
        <v>33754</v>
      </c>
      <c r="C45" s="63">
        <v>60172.34</v>
      </c>
      <c r="D45" s="59"/>
      <c r="E45" s="46"/>
    </row>
    <row r="46" spans="1:5" ht="23.25">
      <c r="A46" s="61" t="s">
        <v>311</v>
      </c>
      <c r="B46" s="62">
        <v>33755</v>
      </c>
      <c r="C46" s="63">
        <v>26760</v>
      </c>
      <c r="D46" s="59"/>
      <c r="E46" s="46"/>
    </row>
    <row r="47" spans="1:5" ht="23.25">
      <c r="A47" s="61" t="s">
        <v>311</v>
      </c>
      <c r="B47" s="62">
        <v>33756</v>
      </c>
      <c r="C47" s="63">
        <v>3298.88</v>
      </c>
      <c r="D47" s="59"/>
      <c r="E47" s="46"/>
    </row>
    <row r="48" spans="1:5" ht="23.25">
      <c r="A48" s="61" t="s">
        <v>311</v>
      </c>
      <c r="B48" s="62">
        <v>33757</v>
      </c>
      <c r="C48" s="63">
        <v>1400</v>
      </c>
      <c r="D48" s="59"/>
      <c r="E48" s="46"/>
    </row>
    <row r="49" spans="1:5" ht="23.25">
      <c r="A49" s="61" t="s">
        <v>311</v>
      </c>
      <c r="B49" s="62">
        <v>33758</v>
      </c>
      <c r="C49" s="63">
        <v>9000</v>
      </c>
      <c r="D49" s="59"/>
      <c r="E49" s="46"/>
    </row>
    <row r="50" spans="1:5" ht="23.25">
      <c r="A50" s="61" t="s">
        <v>311</v>
      </c>
      <c r="B50" s="62">
        <v>33759</v>
      </c>
      <c r="C50" s="63">
        <v>1531.7</v>
      </c>
      <c r="D50" s="59"/>
      <c r="E50" s="46"/>
    </row>
    <row r="51" spans="1:5" ht="23.25">
      <c r="A51" s="61" t="s">
        <v>311</v>
      </c>
      <c r="B51" s="62">
        <v>33760</v>
      </c>
      <c r="C51" s="63">
        <v>19394.1</v>
      </c>
      <c r="D51" s="59"/>
      <c r="E51" s="46"/>
    </row>
    <row r="52" spans="1:3" ht="23.25">
      <c r="A52" s="61" t="s">
        <v>311</v>
      </c>
      <c r="B52" s="62">
        <v>33761</v>
      </c>
      <c r="C52" s="63">
        <v>42514.92</v>
      </c>
    </row>
    <row r="53" spans="1:3" ht="23.25">
      <c r="A53" s="61" t="s">
        <v>311</v>
      </c>
      <c r="B53" s="62">
        <v>33762</v>
      </c>
      <c r="C53" s="63">
        <v>18723.36</v>
      </c>
    </row>
    <row r="54" spans="1:3" ht="23.25">
      <c r="A54" s="61" t="s">
        <v>311</v>
      </c>
      <c r="B54" s="62">
        <v>33763</v>
      </c>
      <c r="C54" s="63">
        <v>95895.33</v>
      </c>
    </row>
    <row r="55" spans="1:4" ht="23.25">
      <c r="A55" s="61" t="s">
        <v>311</v>
      </c>
      <c r="B55" s="62">
        <v>33764</v>
      </c>
      <c r="C55" s="63">
        <v>43268.94</v>
      </c>
      <c r="D55" s="59">
        <v>1105672.5</v>
      </c>
    </row>
    <row r="56" spans="1:4" ht="23.25">
      <c r="A56" s="46" t="s">
        <v>308</v>
      </c>
      <c r="C56" s="58"/>
      <c r="D56" s="64"/>
    </row>
    <row r="57" spans="1:4" ht="23.25">
      <c r="A57" s="54" t="s">
        <v>309</v>
      </c>
      <c r="C57" s="73"/>
      <c r="D57" s="64"/>
    </row>
    <row r="58" spans="1:4" ht="23.25">
      <c r="A58" s="54" t="s">
        <v>306</v>
      </c>
      <c r="B58" s="54" t="s">
        <v>307</v>
      </c>
      <c r="C58" s="71" t="s">
        <v>278</v>
      </c>
      <c r="D58" s="64"/>
    </row>
    <row r="59" spans="1:4" ht="23.25">
      <c r="A59" s="47" t="str">
        <f>'[1]อัมพวัน'!A28</f>
        <v>ยอดคงเหลือตามบัญชี ณ วันที่   30  กันยายน   2555</v>
      </c>
      <c r="B59" s="47"/>
      <c r="C59" s="60"/>
      <c r="D59" s="52">
        <f>D4-D55</f>
        <v>48401863.86</v>
      </c>
    </row>
    <row r="60" spans="1:4" ht="23.25">
      <c r="A60" s="46" t="s">
        <v>312</v>
      </c>
      <c r="B60" s="44"/>
      <c r="C60" s="75" t="s">
        <v>313</v>
      </c>
      <c r="D60" s="45"/>
    </row>
    <row r="61" spans="1:4" ht="23.25">
      <c r="A61" s="46" t="str">
        <f>'[1]อัมพวัน'!A30</f>
        <v>ลงชื่อ.......................................วันที่.  30  กันยายน  2555</v>
      </c>
      <c r="B61" s="51"/>
      <c r="C61" s="64" t="str">
        <f>A61</f>
        <v>ลงชื่อ.......................................วันที่.  30  กันยายน  2555</v>
      </c>
      <c r="D61" s="65"/>
    </row>
    <row r="62" spans="1:4" ht="23.25">
      <c r="A62" s="47" t="s">
        <v>314</v>
      </c>
      <c r="B62" s="66"/>
      <c r="C62" s="67" t="s">
        <v>742</v>
      </c>
      <c r="D62" s="48"/>
    </row>
  </sheetData>
  <printOptions/>
  <pageMargins left="0.58" right="0.41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IV16384"/>
    </sheetView>
  </sheetViews>
  <sheetFormatPr defaultColWidth="9.140625" defaultRowHeight="21.75"/>
  <cols>
    <col min="1" max="1" width="17.7109375" style="46" customWidth="1"/>
    <col min="2" max="2" width="30.57421875" style="46" customWidth="1"/>
    <col min="3" max="3" width="20.00390625" style="46" customWidth="1"/>
    <col min="4" max="4" width="33.7109375" style="53" customWidth="1"/>
    <col min="5" max="5" width="9.8515625" style="46" bestFit="1" customWidth="1"/>
    <col min="6" max="16384" width="9.140625" style="46" customWidth="1"/>
  </cols>
  <sheetData>
    <row r="1" spans="1:4" ht="23.25">
      <c r="A1" s="43" t="s">
        <v>0</v>
      </c>
      <c r="B1" s="44"/>
      <c r="C1" s="43" t="s">
        <v>738</v>
      </c>
      <c r="D1" s="45"/>
    </row>
    <row r="2" spans="1:4" ht="26.25">
      <c r="A2" s="494" t="s">
        <v>300</v>
      </c>
      <c r="B2" s="495"/>
      <c r="C2" s="47" t="s">
        <v>743</v>
      </c>
      <c r="D2" s="48"/>
    </row>
    <row r="3" spans="1:4" ht="23.25">
      <c r="A3" s="49"/>
      <c r="B3" s="49"/>
      <c r="C3" s="49"/>
      <c r="D3" s="50" t="s">
        <v>3</v>
      </c>
    </row>
    <row r="4" spans="1:4" ht="23.25">
      <c r="A4" s="46" t="s">
        <v>744</v>
      </c>
      <c r="C4" s="51"/>
      <c r="D4" s="52">
        <v>23000000</v>
      </c>
    </row>
    <row r="5" spans="1:3" ht="23.25">
      <c r="A5" s="46" t="s">
        <v>302</v>
      </c>
      <c r="C5" s="51"/>
    </row>
    <row r="6" spans="1:3" ht="23.25">
      <c r="A6" s="54" t="s">
        <v>303</v>
      </c>
      <c r="B6" s="54" t="s">
        <v>304</v>
      </c>
      <c r="C6" s="55" t="s">
        <v>278</v>
      </c>
    </row>
    <row r="7" spans="1:3" ht="23.25">
      <c r="A7" s="54"/>
      <c r="B7" s="54"/>
      <c r="C7" s="55"/>
    </row>
    <row r="8" spans="1:3" ht="23.25">
      <c r="A8" s="54"/>
      <c r="B8" s="54"/>
      <c r="C8" s="55"/>
    </row>
    <row r="9" spans="1:3" ht="23.25">
      <c r="A9" s="46" t="s">
        <v>305</v>
      </c>
      <c r="C9" s="51"/>
    </row>
    <row r="10" spans="1:3" ht="23.25">
      <c r="A10" s="54" t="s">
        <v>306</v>
      </c>
      <c r="B10" s="54" t="s">
        <v>307</v>
      </c>
      <c r="C10" s="55" t="s">
        <v>278</v>
      </c>
    </row>
    <row r="11" spans="1:4" ht="23.25">
      <c r="A11" s="56"/>
      <c r="B11" s="57"/>
      <c r="C11" s="72"/>
      <c r="D11" s="59"/>
    </row>
    <row r="12" spans="1:4" ht="23.25">
      <c r="A12" s="56"/>
      <c r="B12" s="57"/>
      <c r="C12" s="72"/>
      <c r="D12" s="59"/>
    </row>
    <row r="13" spans="1:4" ht="23.25">
      <c r="A13" s="56"/>
      <c r="B13" s="57"/>
      <c r="C13" s="72"/>
      <c r="D13" s="59"/>
    </row>
    <row r="14" spans="1:4" ht="23.25">
      <c r="A14" s="56"/>
      <c r="B14" s="57"/>
      <c r="C14" s="72"/>
      <c r="D14" s="59"/>
    </row>
    <row r="15" spans="1:4" ht="23.25">
      <c r="A15" s="56"/>
      <c r="B15" s="57"/>
      <c r="C15" s="72"/>
      <c r="D15" s="59"/>
    </row>
    <row r="16" spans="1:4" ht="23.25">
      <c r="A16" s="56"/>
      <c r="B16" s="57"/>
      <c r="C16" s="72"/>
      <c r="D16" s="59"/>
    </row>
    <row r="17" spans="1:4" ht="23.25">
      <c r="A17" s="56"/>
      <c r="B17" s="57"/>
      <c r="C17" s="58"/>
      <c r="D17" s="59"/>
    </row>
    <row r="18" spans="1:3" ht="23.25">
      <c r="A18" s="46" t="s">
        <v>320</v>
      </c>
      <c r="C18" s="60"/>
    </row>
    <row r="19" spans="1:3" ht="23.25">
      <c r="A19" s="54" t="s">
        <v>309</v>
      </c>
      <c r="B19" s="46" t="s">
        <v>310</v>
      </c>
      <c r="C19" s="58"/>
    </row>
    <row r="20" spans="1:3" ht="23.25">
      <c r="A20" s="54" t="s">
        <v>306</v>
      </c>
      <c r="B20" s="54" t="s">
        <v>307</v>
      </c>
      <c r="C20" s="55" t="s">
        <v>278</v>
      </c>
    </row>
    <row r="21" spans="1:4" ht="23.25">
      <c r="A21" s="56"/>
      <c r="B21" s="57"/>
      <c r="C21" s="74"/>
      <c r="D21" s="59"/>
    </row>
    <row r="22" spans="1:4" ht="23.25">
      <c r="A22" s="56"/>
      <c r="B22" s="57"/>
      <c r="C22" s="74"/>
      <c r="D22" s="59"/>
    </row>
    <row r="23" spans="1:4" ht="23.25">
      <c r="A23" s="56"/>
      <c r="B23" s="57"/>
      <c r="C23" s="74"/>
      <c r="D23" s="59"/>
    </row>
    <row r="24" spans="1:4" ht="23.25">
      <c r="A24" s="56"/>
      <c r="B24" s="57"/>
      <c r="C24" s="74"/>
      <c r="D24" s="59"/>
    </row>
    <row r="25" spans="1:3" ht="23.25">
      <c r="A25" s="56"/>
      <c r="B25" s="57"/>
      <c r="C25" s="74"/>
    </row>
    <row r="26" spans="1:4" ht="23.25">
      <c r="A26" s="56"/>
      <c r="B26" s="57"/>
      <c r="C26" s="496"/>
      <c r="D26" s="59"/>
    </row>
    <row r="27" spans="1:5" ht="23.25">
      <c r="A27" s="56"/>
      <c r="B27" s="57"/>
      <c r="C27" s="496"/>
      <c r="D27" s="59"/>
      <c r="E27" s="53"/>
    </row>
    <row r="28" spans="1:7" ht="23.25">
      <c r="A28" s="47" t="s">
        <v>740</v>
      </c>
      <c r="B28" s="47"/>
      <c r="C28" s="60"/>
      <c r="D28" s="52">
        <v>23000000</v>
      </c>
      <c r="G28" s="53"/>
    </row>
    <row r="29" spans="1:4" ht="23.25">
      <c r="A29" s="46" t="s">
        <v>312</v>
      </c>
      <c r="B29" s="44"/>
      <c r="C29" s="75" t="s">
        <v>313</v>
      </c>
      <c r="D29" s="45"/>
    </row>
    <row r="30" spans="1:4" ht="23.25">
      <c r="A30" s="46" t="s">
        <v>741</v>
      </c>
      <c r="B30" s="51"/>
      <c r="C30" s="64" t="str">
        <f>A30</f>
        <v>ลงชื่อ.......................................วันที่.  30  กันยายน  2555</v>
      </c>
      <c r="D30" s="65"/>
    </row>
    <row r="31" spans="1:4" ht="23.25">
      <c r="A31" s="47" t="s">
        <v>314</v>
      </c>
      <c r="B31" s="66"/>
      <c r="C31" s="67" t="s">
        <v>742</v>
      </c>
      <c r="D31" s="48"/>
    </row>
    <row r="32" ht="23.25">
      <c r="C32" s="53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6">
      <selection activeCell="G23" sqref="G23"/>
    </sheetView>
  </sheetViews>
  <sheetFormatPr defaultColWidth="9.140625" defaultRowHeight="21.75"/>
  <cols>
    <col min="1" max="1" width="17.7109375" style="46" customWidth="1"/>
    <col min="2" max="2" width="33.8515625" style="46" customWidth="1"/>
    <col min="3" max="3" width="20.7109375" style="46" customWidth="1"/>
    <col min="4" max="4" width="30.8515625" style="53" customWidth="1"/>
    <col min="5" max="16384" width="9.140625" style="46" customWidth="1"/>
  </cols>
  <sheetData>
    <row r="1" spans="1:4" ht="23.25">
      <c r="A1" s="43" t="s">
        <v>0</v>
      </c>
      <c r="B1" s="44"/>
      <c r="C1" s="43" t="s">
        <v>317</v>
      </c>
      <c r="D1" s="45"/>
    </row>
    <row r="2" spans="1:4" ht="26.25">
      <c r="A2" s="68" t="s">
        <v>300</v>
      </c>
      <c r="B2" s="69"/>
      <c r="C2" s="49" t="s">
        <v>318</v>
      </c>
      <c r="D2" s="65"/>
    </row>
    <row r="3" spans="1:4" ht="23.25">
      <c r="A3" s="47"/>
      <c r="B3" s="66"/>
      <c r="C3" s="76"/>
      <c r="D3" s="48"/>
    </row>
    <row r="4" spans="1:4" ht="23.25">
      <c r="A4" s="49"/>
      <c r="B4" s="49"/>
      <c r="C4" s="49"/>
      <c r="D4" s="70" t="s">
        <v>3</v>
      </c>
    </row>
    <row r="5" spans="1:4" ht="23.25">
      <c r="A5" s="46" t="str">
        <f>'[1]ออม'!A4</f>
        <v>ยอดเงินคงเหลือตามรายงานธนาคาร ณ วันที่   30  กันยายน   2555</v>
      </c>
      <c r="C5" s="51"/>
      <c r="D5" s="52">
        <v>662434.56</v>
      </c>
    </row>
    <row r="6" spans="1:3" ht="23.25">
      <c r="A6" s="46" t="s">
        <v>302</v>
      </c>
      <c r="C6" s="51"/>
    </row>
    <row r="7" spans="1:3" ht="23.25">
      <c r="A7" s="54" t="s">
        <v>303</v>
      </c>
      <c r="B7" s="54" t="s">
        <v>304</v>
      </c>
      <c r="C7" s="55" t="s">
        <v>278</v>
      </c>
    </row>
    <row r="8" spans="1:3" ht="23.25">
      <c r="A8" s="57" t="s">
        <v>319</v>
      </c>
      <c r="B8" s="57" t="s">
        <v>319</v>
      </c>
      <c r="C8" s="77" t="s">
        <v>319</v>
      </c>
    </row>
    <row r="9" spans="1:3" ht="23.25">
      <c r="A9" s="57" t="s">
        <v>319</v>
      </c>
      <c r="B9" s="57" t="s">
        <v>319</v>
      </c>
      <c r="C9" s="77" t="s">
        <v>319</v>
      </c>
    </row>
    <row r="10" spans="1:4" ht="23.25">
      <c r="A10" s="57" t="s">
        <v>319</v>
      </c>
      <c r="B10" s="57" t="s">
        <v>319</v>
      </c>
      <c r="C10" s="77" t="s">
        <v>319</v>
      </c>
      <c r="D10" s="59"/>
    </row>
    <row r="11" spans="1:3" ht="23.25">
      <c r="A11" s="57"/>
      <c r="B11" s="57"/>
      <c r="C11" s="77"/>
    </row>
    <row r="12" spans="1:3" ht="23.25">
      <c r="A12" s="46" t="s">
        <v>305</v>
      </c>
      <c r="C12" s="51"/>
    </row>
    <row r="13" spans="1:3" ht="23.25">
      <c r="A13" s="54" t="s">
        <v>306</v>
      </c>
      <c r="B13" s="54" t="s">
        <v>307</v>
      </c>
      <c r="C13" s="55" t="s">
        <v>278</v>
      </c>
    </row>
    <row r="14" spans="1:3" ht="23.25">
      <c r="A14" s="57" t="s">
        <v>319</v>
      </c>
      <c r="B14" s="57" t="s">
        <v>319</v>
      </c>
      <c r="C14" s="77" t="s">
        <v>319</v>
      </c>
    </row>
    <row r="15" spans="1:3" ht="23.25">
      <c r="A15" s="57" t="s">
        <v>319</v>
      </c>
      <c r="B15" s="57" t="s">
        <v>319</v>
      </c>
      <c r="C15" s="77" t="s">
        <v>319</v>
      </c>
    </row>
    <row r="16" spans="1:3" ht="23.25">
      <c r="A16" s="57" t="s">
        <v>319</v>
      </c>
      <c r="B16" s="57" t="s">
        <v>319</v>
      </c>
      <c r="C16" s="77" t="s">
        <v>319</v>
      </c>
    </row>
    <row r="17" spans="1:3" ht="23.25">
      <c r="A17" s="57" t="s">
        <v>319</v>
      </c>
      <c r="B17" s="57" t="s">
        <v>319</v>
      </c>
      <c r="C17" s="77" t="s">
        <v>319</v>
      </c>
    </row>
    <row r="18" spans="1:3" ht="23.25">
      <c r="A18" s="57"/>
      <c r="B18" s="57"/>
      <c r="C18" s="77"/>
    </row>
    <row r="19" spans="1:3" ht="23.25">
      <c r="A19" s="46" t="s">
        <v>320</v>
      </c>
      <c r="C19" s="51"/>
    </row>
    <row r="20" spans="1:3" ht="23.25">
      <c r="A20" s="54" t="s">
        <v>321</v>
      </c>
      <c r="C20" s="51"/>
    </row>
    <row r="21" spans="1:4" ht="23.25">
      <c r="A21" s="57"/>
      <c r="B21" s="78"/>
      <c r="C21" s="77" t="s">
        <v>319</v>
      </c>
      <c r="D21" s="59"/>
    </row>
    <row r="22" ht="23.25">
      <c r="C22" s="51"/>
    </row>
    <row r="23" spans="1:4" ht="23.25">
      <c r="A23" s="47" t="str">
        <f>'[1]ออม'!A59</f>
        <v>ยอดคงเหลือตามบัญชี ณ วันที่   30  กันยายน   2555</v>
      </c>
      <c r="B23" s="47"/>
      <c r="C23" s="60"/>
      <c r="D23" s="52">
        <f>D5</f>
        <v>662434.56</v>
      </c>
    </row>
    <row r="24" spans="1:4" ht="23.25">
      <c r="A24" s="46" t="s">
        <v>312</v>
      </c>
      <c r="B24" s="44"/>
      <c r="C24" s="75" t="s">
        <v>313</v>
      </c>
      <c r="D24" s="45"/>
    </row>
    <row r="25" spans="1:4" ht="23.25">
      <c r="A25" s="46" t="str">
        <f>'[1]ออม'!A61</f>
        <v>ลงชื่อ.......................................วันที่.  30  กันยายน  2555</v>
      </c>
      <c r="B25" s="51"/>
      <c r="C25" s="64" t="str">
        <f>A25</f>
        <v>ลงชื่อ.......................................วันที่.  30  กันยายน  2555</v>
      </c>
      <c r="D25" s="65"/>
    </row>
    <row r="26" spans="1:4" ht="23.25">
      <c r="A26" s="47" t="s">
        <v>314</v>
      </c>
      <c r="B26" s="66"/>
      <c r="C26" s="67" t="s">
        <v>742</v>
      </c>
      <c r="D26" s="48"/>
    </row>
    <row r="27" ht="23.25">
      <c r="C27" s="53"/>
    </row>
  </sheetData>
  <printOptions/>
  <pageMargins left="0.51" right="0.41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3"/>
  <sheetViews>
    <sheetView tabSelected="1" workbookViewId="0" topLeftCell="A187">
      <selection activeCell="F41" sqref="F41"/>
    </sheetView>
  </sheetViews>
  <sheetFormatPr defaultColWidth="9.140625" defaultRowHeight="21.75"/>
  <cols>
    <col min="1" max="1" width="4.57421875" style="0" customWidth="1"/>
    <col min="2" max="2" width="13.57421875" style="0" customWidth="1"/>
    <col min="3" max="3" width="11.140625" style="0" customWidth="1"/>
    <col min="4" max="5" width="6.7109375" style="0" customWidth="1"/>
    <col min="7" max="7" width="7.7109375" style="0" customWidth="1"/>
    <col min="9" max="9" width="9.421875" style="0" customWidth="1"/>
    <col min="10" max="10" width="8.421875" style="0" customWidth="1"/>
    <col min="11" max="11" width="8.140625" style="0" customWidth="1"/>
    <col min="12" max="12" width="8.7109375" style="0" customWidth="1"/>
  </cols>
  <sheetData>
    <row r="1" spans="1:14" ht="26.25">
      <c r="A1" s="589" t="s">
        <v>335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90"/>
      <c r="M1" s="81"/>
      <c r="N1" s="81"/>
    </row>
    <row r="2" spans="1:14" ht="26.25">
      <c r="A2" s="591" t="s">
        <v>336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81"/>
      <c r="N2" s="81"/>
    </row>
    <row r="3" spans="1:14" ht="21.75">
      <c r="A3" s="82" t="s">
        <v>337</v>
      </c>
      <c r="B3" s="592" t="s">
        <v>338</v>
      </c>
      <c r="C3" s="594" t="s">
        <v>339</v>
      </c>
      <c r="D3" s="596" t="s">
        <v>340</v>
      </c>
      <c r="E3" s="596" t="s">
        <v>341</v>
      </c>
      <c r="F3" s="596" t="s">
        <v>342</v>
      </c>
      <c r="G3" s="596" t="s">
        <v>343</v>
      </c>
      <c r="H3" s="596" t="s">
        <v>344</v>
      </c>
      <c r="I3" s="82" t="s">
        <v>345</v>
      </c>
      <c r="J3" s="83">
        <v>0.05</v>
      </c>
      <c r="K3" s="83">
        <v>0.06</v>
      </c>
      <c r="L3" s="82" t="s">
        <v>278</v>
      </c>
      <c r="M3" s="81"/>
      <c r="N3" s="81"/>
    </row>
    <row r="4" spans="1:14" ht="21.75">
      <c r="A4" s="84" t="s">
        <v>346</v>
      </c>
      <c r="B4" s="593"/>
      <c r="C4" s="595"/>
      <c r="D4" s="597"/>
      <c r="E4" s="597"/>
      <c r="F4" s="597"/>
      <c r="G4" s="597"/>
      <c r="H4" s="597"/>
      <c r="I4" s="85">
        <v>0.89</v>
      </c>
      <c r="J4" s="85"/>
      <c r="K4" s="85"/>
      <c r="L4" s="84" t="s">
        <v>347</v>
      </c>
      <c r="M4" s="81"/>
      <c r="N4" s="81"/>
    </row>
    <row r="5" spans="1:14" ht="21.75">
      <c r="A5" s="86">
        <v>1</v>
      </c>
      <c r="B5" s="87" t="s">
        <v>348</v>
      </c>
      <c r="C5" s="88" t="s">
        <v>349</v>
      </c>
      <c r="D5" s="86">
        <v>15</v>
      </c>
      <c r="E5" s="86">
        <v>1</v>
      </c>
      <c r="F5" s="86" t="s">
        <v>350</v>
      </c>
      <c r="G5" s="86" t="s">
        <v>351</v>
      </c>
      <c r="H5" s="86" t="s">
        <v>352</v>
      </c>
      <c r="I5" s="89">
        <v>33.6954</v>
      </c>
      <c r="J5" s="89">
        <v>1.89</v>
      </c>
      <c r="K5" s="89">
        <v>2.27</v>
      </c>
      <c r="L5" s="90">
        <v>37.86</v>
      </c>
      <c r="M5" s="81"/>
      <c r="N5" s="81"/>
    </row>
    <row r="6" spans="1:14" ht="21.75">
      <c r="A6" s="91">
        <v>2</v>
      </c>
      <c r="B6" s="92" t="s">
        <v>353</v>
      </c>
      <c r="C6" s="93" t="s">
        <v>354</v>
      </c>
      <c r="D6" s="91">
        <v>25</v>
      </c>
      <c r="E6" s="91">
        <v>5</v>
      </c>
      <c r="F6" s="91" t="s">
        <v>350</v>
      </c>
      <c r="G6" s="91" t="s">
        <v>351</v>
      </c>
      <c r="H6" s="91" t="s">
        <v>352</v>
      </c>
      <c r="I6" s="94">
        <v>64.13</v>
      </c>
      <c r="J6" s="94">
        <v>3.6</v>
      </c>
      <c r="K6" s="94">
        <v>4.32</v>
      </c>
      <c r="L6" s="95">
        <v>72.05</v>
      </c>
      <c r="M6" s="81"/>
      <c r="N6" s="81"/>
    </row>
    <row r="7" spans="1:14" ht="21.75">
      <c r="A7" s="91">
        <v>3</v>
      </c>
      <c r="B7" s="92" t="s">
        <v>355</v>
      </c>
      <c r="C7" s="93" t="s">
        <v>356</v>
      </c>
      <c r="D7" s="91">
        <v>34</v>
      </c>
      <c r="E7" s="91">
        <v>8</v>
      </c>
      <c r="F7" s="91" t="s">
        <v>350</v>
      </c>
      <c r="G7" s="91" t="s">
        <v>351</v>
      </c>
      <c r="H7" s="91" t="s">
        <v>352</v>
      </c>
      <c r="I7" s="94">
        <v>24.564</v>
      </c>
      <c r="J7" s="94">
        <v>1.38</v>
      </c>
      <c r="K7" s="94">
        <v>1.66</v>
      </c>
      <c r="L7" s="96">
        <v>27.6</v>
      </c>
      <c r="M7" s="81"/>
      <c r="N7" s="81"/>
    </row>
    <row r="8" spans="1:14" ht="21.75">
      <c r="A8" s="91">
        <v>5</v>
      </c>
      <c r="B8" s="92" t="s">
        <v>357</v>
      </c>
      <c r="C8" s="93" t="s">
        <v>358</v>
      </c>
      <c r="D8" s="91">
        <v>75</v>
      </c>
      <c r="E8" s="91">
        <v>6</v>
      </c>
      <c r="F8" s="91" t="s">
        <v>359</v>
      </c>
      <c r="G8" s="91" t="s">
        <v>351</v>
      </c>
      <c r="H8" s="91" t="s">
        <v>352</v>
      </c>
      <c r="I8" s="94">
        <v>16.82</v>
      </c>
      <c r="J8" s="94">
        <v>0.94</v>
      </c>
      <c r="K8" s="94">
        <v>1.13</v>
      </c>
      <c r="L8" s="96">
        <v>18.89</v>
      </c>
      <c r="M8" s="81"/>
      <c r="N8" s="81"/>
    </row>
    <row r="9" spans="1:14" ht="21.75">
      <c r="A9" s="598" t="s">
        <v>53</v>
      </c>
      <c r="B9" s="598"/>
      <c r="C9" s="598"/>
      <c r="D9" s="598"/>
      <c r="E9" s="598"/>
      <c r="F9" s="598"/>
      <c r="G9" s="598"/>
      <c r="H9" s="598"/>
      <c r="I9" s="97">
        <v>173.16289999999998</v>
      </c>
      <c r="J9" s="97">
        <v>9.72</v>
      </c>
      <c r="K9" s="97">
        <v>11.67</v>
      </c>
      <c r="L9" s="97">
        <v>194.55</v>
      </c>
      <c r="M9" s="81"/>
      <c r="N9" s="81"/>
    </row>
    <row r="10" spans="1:14" ht="23.25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99"/>
      <c r="L10" s="99"/>
      <c r="M10" s="81"/>
      <c r="N10" s="81"/>
    </row>
    <row r="11" spans="1:14" ht="23.25">
      <c r="A11" s="588" t="s">
        <v>360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81"/>
      <c r="N11" s="81"/>
    </row>
    <row r="12" spans="1:14" ht="23.25">
      <c r="A12" s="588" t="s">
        <v>361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81"/>
      <c r="N12" s="81"/>
    </row>
    <row r="13" spans="1:14" ht="23.25">
      <c r="A13" s="599" t="s">
        <v>362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81"/>
      <c r="N13" s="81"/>
    </row>
    <row r="14" spans="1:14" ht="21.75">
      <c r="A14" s="100" t="s">
        <v>337</v>
      </c>
      <c r="B14" s="592" t="s">
        <v>338</v>
      </c>
      <c r="C14" s="594" t="s">
        <v>339</v>
      </c>
      <c r="D14" s="596" t="s">
        <v>340</v>
      </c>
      <c r="E14" s="596" t="s">
        <v>341</v>
      </c>
      <c r="F14" s="596" t="s">
        <v>342</v>
      </c>
      <c r="G14" s="596" t="s">
        <v>343</v>
      </c>
      <c r="H14" s="596" t="s">
        <v>344</v>
      </c>
      <c r="I14" s="82" t="s">
        <v>345</v>
      </c>
      <c r="J14" s="83">
        <v>0.05</v>
      </c>
      <c r="K14" s="83">
        <v>0.06</v>
      </c>
      <c r="L14" s="82" t="s">
        <v>278</v>
      </c>
      <c r="M14" s="81"/>
      <c r="N14" s="81"/>
    </row>
    <row r="15" spans="1:14" ht="21.75">
      <c r="A15" s="101" t="s">
        <v>346</v>
      </c>
      <c r="B15" s="593"/>
      <c r="C15" s="595"/>
      <c r="D15" s="597"/>
      <c r="E15" s="597"/>
      <c r="F15" s="597"/>
      <c r="G15" s="597"/>
      <c r="H15" s="597"/>
      <c r="I15" s="85">
        <v>0.89</v>
      </c>
      <c r="J15" s="85"/>
      <c r="K15" s="85"/>
      <c r="L15" s="84" t="s">
        <v>347</v>
      </c>
      <c r="M15" s="81"/>
      <c r="N15" s="81"/>
    </row>
    <row r="16" spans="1:14" ht="21.75">
      <c r="A16" s="91">
        <v>1</v>
      </c>
      <c r="B16" s="102" t="s">
        <v>348</v>
      </c>
      <c r="C16" s="103" t="s">
        <v>349</v>
      </c>
      <c r="D16" s="104">
        <v>15</v>
      </c>
      <c r="E16" s="104">
        <v>1</v>
      </c>
      <c r="F16" s="104" t="s">
        <v>350</v>
      </c>
      <c r="G16" s="104" t="s">
        <v>351</v>
      </c>
      <c r="H16" s="104" t="s">
        <v>352</v>
      </c>
      <c r="I16" s="95">
        <v>33.6954</v>
      </c>
      <c r="J16" s="96">
        <v>1.893</v>
      </c>
      <c r="K16" s="96">
        <v>2.27</v>
      </c>
      <c r="L16" s="105">
        <v>37.86</v>
      </c>
      <c r="M16" s="81"/>
      <c r="N16" s="81"/>
    </row>
    <row r="17" spans="1:14" ht="21.75">
      <c r="A17" s="91">
        <v>2</v>
      </c>
      <c r="B17" s="92" t="s">
        <v>363</v>
      </c>
      <c r="C17" s="93" t="s">
        <v>364</v>
      </c>
      <c r="D17" s="106">
        <v>214</v>
      </c>
      <c r="E17" s="91">
        <v>2</v>
      </c>
      <c r="F17" s="91" t="s">
        <v>350</v>
      </c>
      <c r="G17" s="91" t="s">
        <v>351</v>
      </c>
      <c r="H17" s="91" t="s">
        <v>352</v>
      </c>
      <c r="I17" s="95">
        <v>25.5697</v>
      </c>
      <c r="J17" s="96">
        <v>1.4365</v>
      </c>
      <c r="K17" s="96">
        <v>1.72</v>
      </c>
      <c r="L17" s="95">
        <v>28.73</v>
      </c>
      <c r="M17" s="81"/>
      <c r="N17" s="81"/>
    </row>
    <row r="18" spans="1:14" ht="21.75">
      <c r="A18" s="91">
        <v>3</v>
      </c>
      <c r="B18" s="92" t="s">
        <v>353</v>
      </c>
      <c r="C18" s="93" t="s">
        <v>354</v>
      </c>
      <c r="D18" s="91">
        <v>25</v>
      </c>
      <c r="E18" s="91">
        <v>5</v>
      </c>
      <c r="F18" s="91" t="s">
        <v>350</v>
      </c>
      <c r="G18" s="91" t="s">
        <v>351</v>
      </c>
      <c r="H18" s="91" t="s">
        <v>352</v>
      </c>
      <c r="I18" s="95">
        <v>64.13</v>
      </c>
      <c r="J18" s="96">
        <v>3.6025</v>
      </c>
      <c r="K18" s="96">
        <v>4.32</v>
      </c>
      <c r="L18" s="95">
        <v>72.05</v>
      </c>
      <c r="M18" s="81"/>
      <c r="N18" s="81"/>
    </row>
    <row r="19" spans="1:14" ht="21.75">
      <c r="A19" s="91">
        <v>4</v>
      </c>
      <c r="B19" s="92" t="s">
        <v>355</v>
      </c>
      <c r="C19" s="93" t="s">
        <v>356</v>
      </c>
      <c r="D19" s="91">
        <v>34</v>
      </c>
      <c r="E19" s="91">
        <v>8</v>
      </c>
      <c r="F19" s="91" t="s">
        <v>350</v>
      </c>
      <c r="G19" s="91" t="s">
        <v>351</v>
      </c>
      <c r="H19" s="91" t="s">
        <v>352</v>
      </c>
      <c r="I19" s="95">
        <v>24.564</v>
      </c>
      <c r="J19" s="96">
        <v>1.38</v>
      </c>
      <c r="K19" s="96">
        <v>1.66</v>
      </c>
      <c r="L19" s="96">
        <v>27.6</v>
      </c>
      <c r="M19" s="81"/>
      <c r="N19" s="81"/>
    </row>
    <row r="20" spans="1:14" ht="21.75">
      <c r="A20" s="91">
        <v>5</v>
      </c>
      <c r="B20" s="92" t="s">
        <v>365</v>
      </c>
      <c r="C20" s="93" t="s">
        <v>366</v>
      </c>
      <c r="D20" s="91">
        <v>2</v>
      </c>
      <c r="E20" s="91">
        <v>10</v>
      </c>
      <c r="F20" s="91" t="s">
        <v>350</v>
      </c>
      <c r="G20" s="91" t="s">
        <v>351</v>
      </c>
      <c r="H20" s="91" t="s">
        <v>352</v>
      </c>
      <c r="I20" s="95">
        <v>33.9535</v>
      </c>
      <c r="J20" s="96">
        <v>1.9075</v>
      </c>
      <c r="K20" s="96">
        <v>2.29</v>
      </c>
      <c r="L20" s="96">
        <v>38.15</v>
      </c>
      <c r="M20" s="81"/>
      <c r="N20" s="81"/>
    </row>
    <row r="21" spans="1:14" ht="21.75">
      <c r="A21" s="91">
        <v>6</v>
      </c>
      <c r="B21" s="92" t="s">
        <v>357</v>
      </c>
      <c r="C21" s="93" t="s">
        <v>358</v>
      </c>
      <c r="D21" s="91">
        <v>75</v>
      </c>
      <c r="E21" s="91">
        <v>6</v>
      </c>
      <c r="F21" s="91" t="s">
        <v>359</v>
      </c>
      <c r="G21" s="91" t="s">
        <v>351</v>
      </c>
      <c r="H21" s="91" t="s">
        <v>352</v>
      </c>
      <c r="I21" s="95">
        <v>16.82</v>
      </c>
      <c r="J21" s="95">
        <v>0.9445000000000001</v>
      </c>
      <c r="K21" s="96">
        <v>1.13</v>
      </c>
      <c r="L21" s="96">
        <v>18.89</v>
      </c>
      <c r="M21" s="81"/>
      <c r="N21" s="81"/>
    </row>
    <row r="22" spans="1:14" ht="21.75">
      <c r="A22" s="598" t="s">
        <v>53</v>
      </c>
      <c r="B22" s="598"/>
      <c r="C22" s="598"/>
      <c r="D22" s="598"/>
      <c r="E22" s="598"/>
      <c r="F22" s="598"/>
      <c r="G22" s="598"/>
      <c r="H22" s="598"/>
      <c r="I22" s="97">
        <f>SUM(I16:I21)</f>
        <v>198.7326</v>
      </c>
      <c r="J22" s="97">
        <f>SUM(J16:J21)</f>
        <v>11.164000000000001</v>
      </c>
      <c r="K22" s="97">
        <f>SUM(K16:K21)</f>
        <v>13.39</v>
      </c>
      <c r="L22" s="97">
        <f>SUM(L16:L21)</f>
        <v>223.27999999999997</v>
      </c>
      <c r="M22" s="81"/>
      <c r="N22" s="81"/>
    </row>
    <row r="23" spans="1:14" ht="21.75">
      <c r="A23" s="107"/>
      <c r="B23" s="107"/>
      <c r="C23" s="107"/>
      <c r="D23" s="107"/>
      <c r="E23" s="107"/>
      <c r="F23" s="107"/>
      <c r="G23" s="107"/>
      <c r="H23" s="107"/>
      <c r="I23" s="108"/>
      <c r="J23" s="108"/>
      <c r="K23" s="108"/>
      <c r="L23" s="108"/>
      <c r="M23" s="81"/>
      <c r="N23" s="81"/>
    </row>
    <row r="24" spans="1:14" ht="23.25">
      <c r="A24" s="588" t="s">
        <v>360</v>
      </c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81"/>
      <c r="N24" s="81"/>
    </row>
    <row r="25" spans="1:14" ht="23.25">
      <c r="A25" s="588" t="s">
        <v>367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81"/>
      <c r="N25" s="81"/>
    </row>
    <row r="26" spans="1:14" ht="23.25">
      <c r="A26" s="599" t="s">
        <v>362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81"/>
      <c r="N26" s="81"/>
    </row>
    <row r="27" spans="1:14" ht="21.75">
      <c r="A27" s="100" t="s">
        <v>337</v>
      </c>
      <c r="B27" s="592" t="s">
        <v>338</v>
      </c>
      <c r="C27" s="594" t="s">
        <v>339</v>
      </c>
      <c r="D27" s="596" t="s">
        <v>340</v>
      </c>
      <c r="E27" s="596" t="s">
        <v>341</v>
      </c>
      <c r="F27" s="596" t="s">
        <v>342</v>
      </c>
      <c r="G27" s="596" t="s">
        <v>343</v>
      </c>
      <c r="H27" s="596" t="s">
        <v>344</v>
      </c>
      <c r="I27" s="82" t="s">
        <v>345</v>
      </c>
      <c r="J27" s="83">
        <v>0.05</v>
      </c>
      <c r="K27" s="83">
        <v>0.06</v>
      </c>
      <c r="L27" s="82" t="s">
        <v>278</v>
      </c>
      <c r="M27" s="81"/>
      <c r="N27" s="81"/>
    </row>
    <row r="28" spans="1:14" ht="21.75">
      <c r="A28" s="101" t="s">
        <v>346</v>
      </c>
      <c r="B28" s="593"/>
      <c r="C28" s="595"/>
      <c r="D28" s="597"/>
      <c r="E28" s="597"/>
      <c r="F28" s="597"/>
      <c r="G28" s="597"/>
      <c r="H28" s="597"/>
      <c r="I28" s="85">
        <v>0.89</v>
      </c>
      <c r="J28" s="85"/>
      <c r="K28" s="85"/>
      <c r="L28" s="84" t="s">
        <v>347</v>
      </c>
      <c r="M28" s="81"/>
      <c r="N28" s="81"/>
    </row>
    <row r="29" spans="1:14" ht="21.75">
      <c r="A29" s="91">
        <v>1</v>
      </c>
      <c r="B29" s="92" t="s">
        <v>348</v>
      </c>
      <c r="C29" s="93" t="s">
        <v>349</v>
      </c>
      <c r="D29" s="91">
        <v>15</v>
      </c>
      <c r="E29" s="91">
        <v>1</v>
      </c>
      <c r="F29" s="91" t="s">
        <v>350</v>
      </c>
      <c r="G29" s="91" t="s">
        <v>351</v>
      </c>
      <c r="H29" s="91" t="s">
        <v>352</v>
      </c>
      <c r="I29" s="95">
        <v>33.6954</v>
      </c>
      <c r="J29" s="96">
        <v>1.893</v>
      </c>
      <c r="K29" s="96">
        <v>2.2716000000000003</v>
      </c>
      <c r="L29" s="109">
        <v>37.86</v>
      </c>
      <c r="M29" s="81"/>
      <c r="N29" s="81"/>
    </row>
    <row r="30" spans="1:14" ht="21.75">
      <c r="A30" s="91">
        <v>2</v>
      </c>
      <c r="B30" s="92" t="s">
        <v>368</v>
      </c>
      <c r="C30" s="93" t="s">
        <v>364</v>
      </c>
      <c r="D30" s="91">
        <v>49</v>
      </c>
      <c r="E30" s="91">
        <v>1</v>
      </c>
      <c r="F30" s="91" t="s">
        <v>350</v>
      </c>
      <c r="G30" s="91" t="s">
        <v>351</v>
      </c>
      <c r="H30" s="91" t="s">
        <v>352</v>
      </c>
      <c r="I30" s="95">
        <v>5.55</v>
      </c>
      <c r="J30" s="95">
        <v>0.31150000000000005</v>
      </c>
      <c r="K30" s="95">
        <v>0.36850000000000055</v>
      </c>
      <c r="L30" s="109">
        <v>6.23</v>
      </c>
      <c r="M30" s="81"/>
      <c r="N30" s="81"/>
    </row>
    <row r="31" spans="1:14" ht="21.75">
      <c r="A31" s="91">
        <v>3</v>
      </c>
      <c r="B31" s="92" t="s">
        <v>369</v>
      </c>
      <c r="C31" s="93" t="s">
        <v>370</v>
      </c>
      <c r="D31" s="91">
        <v>93</v>
      </c>
      <c r="E31" s="91">
        <v>2</v>
      </c>
      <c r="F31" s="91" t="s">
        <v>350</v>
      </c>
      <c r="G31" s="91" t="s">
        <v>351</v>
      </c>
      <c r="H31" s="91" t="s">
        <v>352</v>
      </c>
      <c r="I31" s="95">
        <v>7.4</v>
      </c>
      <c r="J31" s="109">
        <v>0.42</v>
      </c>
      <c r="K31" s="95">
        <v>0.49</v>
      </c>
      <c r="L31" s="109">
        <v>8.31</v>
      </c>
      <c r="M31" s="81"/>
      <c r="N31" s="81"/>
    </row>
    <row r="32" spans="1:14" ht="21.75">
      <c r="A32" s="91">
        <v>4</v>
      </c>
      <c r="B32" s="92" t="s">
        <v>363</v>
      </c>
      <c r="C32" s="93" t="s">
        <v>364</v>
      </c>
      <c r="D32" s="106">
        <v>214</v>
      </c>
      <c r="E32" s="91">
        <v>2</v>
      </c>
      <c r="F32" s="91" t="s">
        <v>350</v>
      </c>
      <c r="G32" s="91" t="s">
        <v>351</v>
      </c>
      <c r="H32" s="91" t="s">
        <v>352</v>
      </c>
      <c r="I32" s="95">
        <v>25.5697</v>
      </c>
      <c r="J32" s="96">
        <v>1.4365</v>
      </c>
      <c r="K32" s="96">
        <v>1.7237999999999993</v>
      </c>
      <c r="L32" s="95">
        <v>28.73</v>
      </c>
      <c r="M32" s="81"/>
      <c r="N32" s="81"/>
    </row>
    <row r="33" spans="1:14" ht="21.75">
      <c r="A33" s="91">
        <v>5</v>
      </c>
      <c r="B33" s="110" t="s">
        <v>371</v>
      </c>
      <c r="C33" s="111" t="s">
        <v>372</v>
      </c>
      <c r="D33" s="112"/>
      <c r="E33" s="113">
        <v>3</v>
      </c>
      <c r="F33" s="91" t="s">
        <v>350</v>
      </c>
      <c r="G33" s="91" t="s">
        <v>351</v>
      </c>
      <c r="H33" s="91" t="s">
        <v>352</v>
      </c>
      <c r="I33" s="114">
        <v>43.26</v>
      </c>
      <c r="J33" s="115">
        <v>2.43</v>
      </c>
      <c r="K33" s="109">
        <v>2.92</v>
      </c>
      <c r="L33" s="109">
        <v>48.61</v>
      </c>
      <c r="M33" s="81"/>
      <c r="N33" s="81"/>
    </row>
    <row r="34" spans="1:14" ht="21.75">
      <c r="A34" s="310">
        <v>6</v>
      </c>
      <c r="B34" s="311" t="s">
        <v>373</v>
      </c>
      <c r="C34" s="312" t="s">
        <v>374</v>
      </c>
      <c r="D34" s="310">
        <v>6</v>
      </c>
      <c r="E34" s="310">
        <v>11</v>
      </c>
      <c r="F34" s="310" t="s">
        <v>350</v>
      </c>
      <c r="G34" s="310" t="s">
        <v>351</v>
      </c>
      <c r="H34" s="310" t="s">
        <v>352</v>
      </c>
      <c r="I34" s="313">
        <v>40.57</v>
      </c>
      <c r="J34" s="313">
        <v>2.28</v>
      </c>
      <c r="K34" s="313">
        <v>2.73</v>
      </c>
      <c r="L34" s="313">
        <v>45.58</v>
      </c>
      <c r="M34" s="81"/>
      <c r="N34" s="81"/>
    </row>
    <row r="35" spans="1:14" ht="21.75">
      <c r="A35" s="86">
        <v>7</v>
      </c>
      <c r="B35" s="330" t="s">
        <v>375</v>
      </c>
      <c r="C35" s="331" t="s">
        <v>376</v>
      </c>
      <c r="D35" s="86">
        <v>228</v>
      </c>
      <c r="E35" s="325">
        <v>5</v>
      </c>
      <c r="F35" s="86" t="s">
        <v>350</v>
      </c>
      <c r="G35" s="86" t="s">
        <v>351</v>
      </c>
      <c r="H35" s="86" t="s">
        <v>352</v>
      </c>
      <c r="I35" s="332">
        <v>11.26</v>
      </c>
      <c r="J35" s="332">
        <v>0.63</v>
      </c>
      <c r="K35" s="332">
        <v>0.76</v>
      </c>
      <c r="L35" s="90">
        <v>12.65</v>
      </c>
      <c r="M35" s="81"/>
      <c r="N35" s="81"/>
    </row>
    <row r="36" spans="1:14" ht="21.75">
      <c r="A36" s="91">
        <v>8</v>
      </c>
      <c r="B36" s="110" t="s">
        <v>353</v>
      </c>
      <c r="C36" s="93" t="s">
        <v>354</v>
      </c>
      <c r="D36" s="91">
        <v>25</v>
      </c>
      <c r="E36" s="91">
        <v>5</v>
      </c>
      <c r="F36" s="91" t="s">
        <v>350</v>
      </c>
      <c r="G36" s="91" t="s">
        <v>351</v>
      </c>
      <c r="H36" s="91" t="s">
        <v>352</v>
      </c>
      <c r="I36" s="95">
        <v>64.13</v>
      </c>
      <c r="J36" s="96">
        <v>3.6025</v>
      </c>
      <c r="K36" s="96">
        <v>4.3229999999999995</v>
      </c>
      <c r="L36" s="95">
        <v>72.05</v>
      </c>
      <c r="M36" s="81"/>
      <c r="N36" s="81"/>
    </row>
    <row r="37" spans="1:14" ht="21.75">
      <c r="A37" s="91">
        <v>9</v>
      </c>
      <c r="B37" s="110" t="s">
        <v>377</v>
      </c>
      <c r="C37" s="111" t="s">
        <v>378</v>
      </c>
      <c r="D37" s="91">
        <v>74</v>
      </c>
      <c r="E37" s="113">
        <v>5</v>
      </c>
      <c r="F37" s="91" t="s">
        <v>350</v>
      </c>
      <c r="G37" s="91" t="s">
        <v>351</v>
      </c>
      <c r="H37" s="91" t="s">
        <v>352</v>
      </c>
      <c r="I37" s="115">
        <v>23.79</v>
      </c>
      <c r="J37" s="115">
        <v>1.34</v>
      </c>
      <c r="K37" s="115">
        <v>1.6</v>
      </c>
      <c r="L37" s="109">
        <v>26.73</v>
      </c>
      <c r="M37" s="81"/>
      <c r="N37" s="81"/>
    </row>
    <row r="38" spans="1:14" ht="21.75">
      <c r="A38" s="91">
        <v>10</v>
      </c>
      <c r="B38" s="92" t="s">
        <v>355</v>
      </c>
      <c r="C38" s="93" t="s">
        <v>356</v>
      </c>
      <c r="D38" s="91">
        <v>34</v>
      </c>
      <c r="E38" s="91">
        <v>8</v>
      </c>
      <c r="F38" s="91" t="s">
        <v>350</v>
      </c>
      <c r="G38" s="91" t="s">
        <v>351</v>
      </c>
      <c r="H38" s="91" t="s">
        <v>352</v>
      </c>
      <c r="I38" s="95">
        <v>24.564</v>
      </c>
      <c r="J38" s="96">
        <v>1.38</v>
      </c>
      <c r="K38" s="96">
        <v>1.6560000000000012</v>
      </c>
      <c r="L38" s="96">
        <v>27.6</v>
      </c>
      <c r="M38" s="81"/>
      <c r="N38" s="81"/>
    </row>
    <row r="39" spans="1:14" ht="21.75">
      <c r="A39" s="91">
        <v>11</v>
      </c>
      <c r="B39" s="92" t="s">
        <v>365</v>
      </c>
      <c r="C39" s="93" t="s">
        <v>366</v>
      </c>
      <c r="D39" s="91">
        <v>2</v>
      </c>
      <c r="E39" s="91">
        <v>10</v>
      </c>
      <c r="F39" s="91" t="s">
        <v>350</v>
      </c>
      <c r="G39" s="91" t="s">
        <v>351</v>
      </c>
      <c r="H39" s="91" t="s">
        <v>352</v>
      </c>
      <c r="I39" s="95">
        <v>33.9535</v>
      </c>
      <c r="J39" s="96">
        <v>1.9075</v>
      </c>
      <c r="K39" s="96">
        <v>2.2890000000000006</v>
      </c>
      <c r="L39" s="96">
        <v>38.15</v>
      </c>
      <c r="M39" s="81"/>
      <c r="N39" s="81"/>
    </row>
    <row r="40" spans="1:14" ht="21.75">
      <c r="A40" s="91">
        <v>12</v>
      </c>
      <c r="B40" s="110" t="s">
        <v>379</v>
      </c>
      <c r="C40" s="111" t="s">
        <v>380</v>
      </c>
      <c r="D40" s="113">
        <v>41</v>
      </c>
      <c r="E40" s="113">
        <v>12</v>
      </c>
      <c r="F40" s="113" t="s">
        <v>350</v>
      </c>
      <c r="G40" s="113" t="s">
        <v>351</v>
      </c>
      <c r="H40" s="113" t="s">
        <v>352</v>
      </c>
      <c r="I40" s="114">
        <v>113.52</v>
      </c>
      <c r="J40" s="116">
        <v>6.38</v>
      </c>
      <c r="K40" s="116">
        <v>7.65</v>
      </c>
      <c r="L40" s="95">
        <v>127.55</v>
      </c>
      <c r="M40" s="81"/>
      <c r="N40" s="81"/>
    </row>
    <row r="41" spans="1:14" ht="21.75">
      <c r="A41" s="91">
        <v>13</v>
      </c>
      <c r="B41" s="92" t="s">
        <v>357</v>
      </c>
      <c r="C41" s="93" t="s">
        <v>358</v>
      </c>
      <c r="D41" s="91">
        <v>75</v>
      </c>
      <c r="E41" s="91">
        <v>6</v>
      </c>
      <c r="F41" s="91" t="s">
        <v>359</v>
      </c>
      <c r="G41" s="91" t="s">
        <v>351</v>
      </c>
      <c r="H41" s="91" t="s">
        <v>352</v>
      </c>
      <c r="I41" s="95">
        <v>16.81</v>
      </c>
      <c r="J41" s="95">
        <v>0.9445000000000001</v>
      </c>
      <c r="K41" s="96">
        <v>1.1333999999999995</v>
      </c>
      <c r="L41" s="95">
        <v>18.8879</v>
      </c>
      <c r="M41" s="81"/>
      <c r="N41" s="81"/>
    </row>
    <row r="42" spans="1:14" ht="21.75">
      <c r="A42" s="600" t="s">
        <v>53</v>
      </c>
      <c r="B42" s="601"/>
      <c r="C42" s="601"/>
      <c r="D42" s="601"/>
      <c r="E42" s="601"/>
      <c r="F42" s="601"/>
      <c r="G42" s="601"/>
      <c r="H42" s="602"/>
      <c r="I42" s="117">
        <f>SUM(I29:I41)</f>
        <v>444.07259999999997</v>
      </c>
      <c r="J42" s="117">
        <f>SUM(J29:J41)</f>
        <v>24.955499999999997</v>
      </c>
      <c r="K42" s="117">
        <f>SUM(K29:K41)</f>
        <v>29.915300000000006</v>
      </c>
      <c r="L42" s="117">
        <f>SUM(L29:L41)</f>
        <v>498.9379</v>
      </c>
      <c r="M42" s="81"/>
      <c r="N42" s="81"/>
    </row>
    <row r="43" spans="1:14" ht="21.75">
      <c r="A43" s="118"/>
      <c r="B43" s="119"/>
      <c r="C43" s="119"/>
      <c r="D43" s="120"/>
      <c r="E43" s="121"/>
      <c r="F43" s="118"/>
      <c r="G43" s="118"/>
      <c r="H43" s="118"/>
      <c r="I43" s="108"/>
      <c r="J43" s="108"/>
      <c r="K43" s="122"/>
      <c r="L43" s="122"/>
      <c r="M43" s="81"/>
      <c r="N43" s="81"/>
    </row>
    <row r="44" spans="1:14" ht="23.25">
      <c r="A44" s="588" t="s">
        <v>360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81"/>
      <c r="N44" s="81"/>
    </row>
    <row r="45" spans="1:14" ht="23.25">
      <c r="A45" s="588" t="s">
        <v>381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81"/>
      <c r="N45" s="81"/>
    </row>
    <row r="46" spans="1:14" ht="23.25">
      <c r="A46" s="599" t="s">
        <v>362</v>
      </c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81"/>
      <c r="N46" s="81"/>
    </row>
    <row r="47" spans="1:14" ht="21.75">
      <c r="A47" s="100" t="s">
        <v>337</v>
      </c>
      <c r="B47" s="592" t="s">
        <v>338</v>
      </c>
      <c r="C47" s="594" t="s">
        <v>339</v>
      </c>
      <c r="D47" s="596" t="s">
        <v>340</v>
      </c>
      <c r="E47" s="596" t="s">
        <v>341</v>
      </c>
      <c r="F47" s="596" t="s">
        <v>342</v>
      </c>
      <c r="G47" s="596" t="s">
        <v>343</v>
      </c>
      <c r="H47" s="596" t="s">
        <v>344</v>
      </c>
      <c r="I47" s="82" t="s">
        <v>345</v>
      </c>
      <c r="J47" s="83">
        <v>0.05</v>
      </c>
      <c r="K47" s="83">
        <v>0.06</v>
      </c>
      <c r="L47" s="82" t="s">
        <v>278</v>
      </c>
      <c r="M47" s="81"/>
      <c r="N47" s="81"/>
    </row>
    <row r="48" spans="1:14" ht="21.75">
      <c r="A48" s="101" t="s">
        <v>346</v>
      </c>
      <c r="B48" s="593"/>
      <c r="C48" s="595"/>
      <c r="D48" s="597"/>
      <c r="E48" s="597"/>
      <c r="F48" s="597"/>
      <c r="G48" s="597"/>
      <c r="H48" s="597"/>
      <c r="I48" s="85">
        <v>0.89</v>
      </c>
      <c r="J48" s="85"/>
      <c r="K48" s="85"/>
      <c r="L48" s="84" t="s">
        <v>347</v>
      </c>
      <c r="M48" s="81"/>
      <c r="N48" s="81"/>
    </row>
    <row r="49" spans="1:14" ht="21.75">
      <c r="A49" s="91">
        <v>1</v>
      </c>
      <c r="B49" s="92" t="s">
        <v>348</v>
      </c>
      <c r="C49" s="93" t="s">
        <v>349</v>
      </c>
      <c r="D49" s="91">
        <v>15</v>
      </c>
      <c r="E49" s="91">
        <v>1</v>
      </c>
      <c r="F49" s="91" t="s">
        <v>350</v>
      </c>
      <c r="G49" s="91" t="s">
        <v>351</v>
      </c>
      <c r="H49" s="91" t="s">
        <v>352</v>
      </c>
      <c r="I49" s="95">
        <v>33.6954</v>
      </c>
      <c r="J49" s="96">
        <v>1.893</v>
      </c>
      <c r="K49" s="96">
        <v>2.2716000000000003</v>
      </c>
      <c r="L49" s="123">
        <v>37.86</v>
      </c>
      <c r="M49" s="81"/>
      <c r="N49" s="81"/>
    </row>
    <row r="50" spans="1:14" ht="21.75">
      <c r="A50" s="91">
        <v>2</v>
      </c>
      <c r="B50" s="124" t="s">
        <v>382</v>
      </c>
      <c r="C50" s="125" t="s">
        <v>383</v>
      </c>
      <c r="D50" s="126">
        <v>42</v>
      </c>
      <c r="E50" s="127">
        <v>1</v>
      </c>
      <c r="F50" s="91" t="s">
        <v>350</v>
      </c>
      <c r="G50" s="91" t="s">
        <v>351</v>
      </c>
      <c r="H50" s="91" t="s">
        <v>352</v>
      </c>
      <c r="I50" s="123">
        <v>19.47</v>
      </c>
      <c r="J50" s="123">
        <v>1.09</v>
      </c>
      <c r="K50" s="123">
        <v>1.31</v>
      </c>
      <c r="L50" s="123">
        <v>21.87</v>
      </c>
      <c r="M50" s="81"/>
      <c r="N50" s="81"/>
    </row>
    <row r="51" spans="1:14" ht="21.75">
      <c r="A51" s="91">
        <v>3</v>
      </c>
      <c r="B51" s="124" t="s">
        <v>384</v>
      </c>
      <c r="C51" s="125" t="s">
        <v>364</v>
      </c>
      <c r="D51" s="126">
        <v>29</v>
      </c>
      <c r="E51" s="127">
        <v>2</v>
      </c>
      <c r="F51" s="91" t="s">
        <v>350</v>
      </c>
      <c r="G51" s="91" t="s">
        <v>351</v>
      </c>
      <c r="H51" s="91" t="s">
        <v>352</v>
      </c>
      <c r="I51" s="123">
        <v>8.9</v>
      </c>
      <c r="J51" s="123">
        <v>0.5</v>
      </c>
      <c r="K51" s="123">
        <v>0.6</v>
      </c>
      <c r="L51" s="123">
        <v>10</v>
      </c>
      <c r="M51" s="81"/>
      <c r="N51" s="81"/>
    </row>
    <row r="52" spans="1:14" ht="21.75">
      <c r="A52" s="91">
        <v>4</v>
      </c>
      <c r="B52" s="124" t="s">
        <v>385</v>
      </c>
      <c r="C52" s="125" t="s">
        <v>386</v>
      </c>
      <c r="D52" s="128"/>
      <c r="E52" s="128"/>
      <c r="F52" s="91" t="s">
        <v>350</v>
      </c>
      <c r="G52" s="91" t="s">
        <v>351</v>
      </c>
      <c r="H52" s="91" t="s">
        <v>352</v>
      </c>
      <c r="I52" s="123">
        <v>8.9</v>
      </c>
      <c r="J52" s="123">
        <v>0.5</v>
      </c>
      <c r="K52" s="123">
        <v>0.6</v>
      </c>
      <c r="L52" s="123">
        <v>10</v>
      </c>
      <c r="M52" s="81"/>
      <c r="N52" s="81"/>
    </row>
    <row r="53" spans="1:14" ht="21.75">
      <c r="A53" s="91">
        <v>5</v>
      </c>
      <c r="B53" s="124" t="s">
        <v>387</v>
      </c>
      <c r="C53" s="129" t="s">
        <v>376</v>
      </c>
      <c r="D53" s="128"/>
      <c r="E53" s="128"/>
      <c r="F53" s="91" t="s">
        <v>350</v>
      </c>
      <c r="G53" s="91" t="s">
        <v>351</v>
      </c>
      <c r="H53" s="91" t="s">
        <v>352</v>
      </c>
      <c r="I53" s="123">
        <v>1.29</v>
      </c>
      <c r="J53" s="123">
        <v>0.07</v>
      </c>
      <c r="K53" s="123">
        <v>0.09</v>
      </c>
      <c r="L53" s="123">
        <v>1.45</v>
      </c>
      <c r="M53" s="81"/>
      <c r="N53" s="81"/>
    </row>
    <row r="54" spans="1:14" ht="21.75">
      <c r="A54" s="91">
        <v>6</v>
      </c>
      <c r="B54" s="124" t="s">
        <v>388</v>
      </c>
      <c r="C54" s="125" t="s">
        <v>380</v>
      </c>
      <c r="D54" s="128">
        <v>48</v>
      </c>
      <c r="E54" s="128">
        <v>2</v>
      </c>
      <c r="F54" s="91" t="s">
        <v>350</v>
      </c>
      <c r="G54" s="91" t="s">
        <v>351</v>
      </c>
      <c r="H54" s="91" t="s">
        <v>352</v>
      </c>
      <c r="I54" s="123">
        <v>12.02</v>
      </c>
      <c r="J54" s="123">
        <v>0.67</v>
      </c>
      <c r="K54" s="123">
        <v>0.81</v>
      </c>
      <c r="L54" s="123">
        <v>13.5</v>
      </c>
      <c r="M54" s="81"/>
      <c r="N54" s="81"/>
    </row>
    <row r="55" spans="1:14" ht="21.75">
      <c r="A55" s="598" t="s">
        <v>53</v>
      </c>
      <c r="B55" s="598"/>
      <c r="C55" s="598"/>
      <c r="D55" s="598"/>
      <c r="E55" s="598"/>
      <c r="F55" s="598"/>
      <c r="G55" s="598"/>
      <c r="H55" s="598"/>
      <c r="I55" s="97">
        <f>SUM(I49:I54)</f>
        <v>84.2754</v>
      </c>
      <c r="J55" s="97">
        <f>SUM(J49:J54)</f>
        <v>4.723</v>
      </c>
      <c r="K55" s="97">
        <f>SUM(K49:K54)</f>
        <v>5.6815999999999995</v>
      </c>
      <c r="L55" s="97">
        <f>SUM(L49:L54)</f>
        <v>94.68</v>
      </c>
      <c r="M55" s="81"/>
      <c r="N55" s="81"/>
    </row>
    <row r="56" spans="1:14" ht="23.25">
      <c r="A56" s="588"/>
      <c r="B56" s="588"/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81"/>
      <c r="N56" s="81"/>
    </row>
    <row r="57" spans="1:14" ht="23.25">
      <c r="A57" s="588" t="s">
        <v>360</v>
      </c>
      <c r="B57" s="588"/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81"/>
      <c r="N57" s="81"/>
    </row>
    <row r="58" spans="1:14" ht="23.25">
      <c r="A58" s="588" t="s">
        <v>381</v>
      </c>
      <c r="B58" s="588"/>
      <c r="C58" s="588"/>
      <c r="D58" s="588"/>
      <c r="E58" s="588"/>
      <c r="F58" s="588"/>
      <c r="G58" s="588"/>
      <c r="H58" s="588"/>
      <c r="I58" s="588"/>
      <c r="J58" s="588"/>
      <c r="K58" s="588"/>
      <c r="L58" s="588"/>
      <c r="M58" s="81"/>
      <c r="N58" s="81"/>
    </row>
    <row r="59" spans="1:14" ht="23.25">
      <c r="A59" s="599" t="s">
        <v>362</v>
      </c>
      <c r="B59" s="599"/>
      <c r="C59" s="599"/>
      <c r="D59" s="599"/>
      <c r="E59" s="599"/>
      <c r="F59" s="599"/>
      <c r="G59" s="599"/>
      <c r="H59" s="599"/>
      <c r="I59" s="599"/>
      <c r="J59" s="599"/>
      <c r="K59" s="599"/>
      <c r="L59" s="599"/>
      <c r="M59" s="81"/>
      <c r="N59" s="81"/>
    </row>
    <row r="60" spans="1:14" ht="21.75">
      <c r="A60" s="100" t="s">
        <v>337</v>
      </c>
      <c r="B60" s="592" t="s">
        <v>338</v>
      </c>
      <c r="C60" s="594" t="s">
        <v>339</v>
      </c>
      <c r="D60" s="596" t="s">
        <v>340</v>
      </c>
      <c r="E60" s="596" t="s">
        <v>341</v>
      </c>
      <c r="F60" s="596" t="s">
        <v>342</v>
      </c>
      <c r="G60" s="596" t="s">
        <v>343</v>
      </c>
      <c r="H60" s="596" t="s">
        <v>344</v>
      </c>
      <c r="I60" s="82" t="s">
        <v>345</v>
      </c>
      <c r="J60" s="83">
        <v>0.05</v>
      </c>
      <c r="K60" s="83">
        <v>0.06</v>
      </c>
      <c r="L60" s="82" t="s">
        <v>278</v>
      </c>
      <c r="M60" s="81"/>
      <c r="N60" s="81"/>
    </row>
    <row r="61" spans="1:14" ht="21.75">
      <c r="A61" s="101" t="s">
        <v>346</v>
      </c>
      <c r="B61" s="593"/>
      <c r="C61" s="595"/>
      <c r="D61" s="597"/>
      <c r="E61" s="597"/>
      <c r="F61" s="597"/>
      <c r="G61" s="597"/>
      <c r="H61" s="597"/>
      <c r="I61" s="85">
        <v>0.89</v>
      </c>
      <c r="J61" s="85"/>
      <c r="K61" s="85"/>
      <c r="L61" s="84" t="s">
        <v>347</v>
      </c>
      <c r="M61" s="81"/>
      <c r="N61" s="81"/>
    </row>
    <row r="62" spans="1:14" ht="21.75">
      <c r="A62" s="91">
        <v>7</v>
      </c>
      <c r="B62" s="124" t="s">
        <v>389</v>
      </c>
      <c r="C62" s="129" t="s">
        <v>376</v>
      </c>
      <c r="D62" s="128">
        <v>170</v>
      </c>
      <c r="E62" s="128">
        <v>2</v>
      </c>
      <c r="F62" s="91" t="s">
        <v>350</v>
      </c>
      <c r="G62" s="91" t="s">
        <v>351</v>
      </c>
      <c r="H62" s="91" t="s">
        <v>352</v>
      </c>
      <c r="I62" s="123">
        <v>6.5</v>
      </c>
      <c r="J62" s="123">
        <v>0.36</v>
      </c>
      <c r="K62" s="123">
        <v>0.44</v>
      </c>
      <c r="L62" s="123">
        <v>7.3</v>
      </c>
      <c r="M62" s="81"/>
      <c r="N62" s="81"/>
    </row>
    <row r="63" spans="1:14" ht="21.75">
      <c r="A63" s="91">
        <v>8</v>
      </c>
      <c r="B63" s="110" t="s">
        <v>390</v>
      </c>
      <c r="C63" s="111" t="s">
        <v>364</v>
      </c>
      <c r="D63" s="113">
        <v>124</v>
      </c>
      <c r="E63" s="113">
        <v>2</v>
      </c>
      <c r="F63" s="113" t="s">
        <v>350</v>
      </c>
      <c r="G63" s="113" t="s">
        <v>351</v>
      </c>
      <c r="H63" s="113" t="s">
        <v>352</v>
      </c>
      <c r="I63" s="114">
        <v>27.8</v>
      </c>
      <c r="J63" s="116">
        <v>1.56</v>
      </c>
      <c r="K63" s="116">
        <v>1.88</v>
      </c>
      <c r="L63" s="95">
        <v>31.24</v>
      </c>
      <c r="M63" s="81"/>
      <c r="N63" s="81"/>
    </row>
    <row r="64" spans="1:14" ht="21.75">
      <c r="A64" s="91">
        <v>9</v>
      </c>
      <c r="B64" s="124" t="s">
        <v>391</v>
      </c>
      <c r="C64" s="125" t="s">
        <v>392</v>
      </c>
      <c r="D64" s="128" t="s">
        <v>393</v>
      </c>
      <c r="E64" s="128">
        <v>2</v>
      </c>
      <c r="F64" s="113" t="s">
        <v>350</v>
      </c>
      <c r="G64" s="113" t="s">
        <v>351</v>
      </c>
      <c r="H64" s="113" t="s">
        <v>352</v>
      </c>
      <c r="I64" s="123">
        <v>82.22</v>
      </c>
      <c r="J64" s="123">
        <v>4.62</v>
      </c>
      <c r="K64" s="123">
        <v>5.54</v>
      </c>
      <c r="L64" s="123">
        <v>92.38</v>
      </c>
      <c r="M64" s="81"/>
      <c r="N64" s="81"/>
    </row>
    <row r="65" spans="1:14" ht="21.75">
      <c r="A65" s="91">
        <v>10</v>
      </c>
      <c r="B65" s="92" t="s">
        <v>394</v>
      </c>
      <c r="C65" s="93" t="s">
        <v>395</v>
      </c>
      <c r="D65" s="91">
        <v>83</v>
      </c>
      <c r="E65" s="91">
        <v>2</v>
      </c>
      <c r="F65" s="113" t="s">
        <v>350</v>
      </c>
      <c r="G65" s="113" t="s">
        <v>351</v>
      </c>
      <c r="H65" s="113" t="s">
        <v>352</v>
      </c>
      <c r="I65" s="96">
        <v>10.68</v>
      </c>
      <c r="J65" s="96">
        <v>0.6</v>
      </c>
      <c r="K65" s="96">
        <v>0.72</v>
      </c>
      <c r="L65" s="123">
        <v>12</v>
      </c>
      <c r="M65" s="81"/>
      <c r="N65" s="81"/>
    </row>
    <row r="66" spans="1:14" ht="21.75">
      <c r="A66" s="91">
        <v>11</v>
      </c>
      <c r="B66" s="92" t="s">
        <v>363</v>
      </c>
      <c r="C66" s="93" t="s">
        <v>364</v>
      </c>
      <c r="D66" s="91">
        <v>214</v>
      </c>
      <c r="E66" s="91">
        <v>2</v>
      </c>
      <c r="F66" s="113" t="s">
        <v>350</v>
      </c>
      <c r="G66" s="113" t="s">
        <v>351</v>
      </c>
      <c r="H66" s="113" t="s">
        <v>352</v>
      </c>
      <c r="I66" s="96">
        <v>25.57</v>
      </c>
      <c r="J66" s="96">
        <v>1.44</v>
      </c>
      <c r="K66" s="96">
        <v>1.72</v>
      </c>
      <c r="L66" s="123">
        <v>28.73</v>
      </c>
      <c r="M66" s="81"/>
      <c r="N66" s="81"/>
    </row>
    <row r="67" spans="1:14" ht="21.75">
      <c r="A67" s="91">
        <v>12</v>
      </c>
      <c r="B67" s="92" t="s">
        <v>396</v>
      </c>
      <c r="C67" s="93" t="s">
        <v>397</v>
      </c>
      <c r="D67" s="91" t="s">
        <v>398</v>
      </c>
      <c r="E67" s="91" t="s">
        <v>399</v>
      </c>
      <c r="F67" s="91" t="s">
        <v>400</v>
      </c>
      <c r="G67" s="91" t="s">
        <v>351</v>
      </c>
      <c r="H67" s="91" t="s">
        <v>352</v>
      </c>
      <c r="I67" s="95">
        <v>9.14</v>
      </c>
      <c r="J67" s="96">
        <v>0.51</v>
      </c>
      <c r="K67" s="96">
        <v>0.62</v>
      </c>
      <c r="L67" s="123">
        <v>10.27</v>
      </c>
      <c r="M67" s="81"/>
      <c r="N67" s="81"/>
    </row>
    <row r="68" spans="1:14" ht="21.75">
      <c r="A68" s="91">
        <v>13</v>
      </c>
      <c r="B68" s="124" t="s">
        <v>357</v>
      </c>
      <c r="C68" s="125" t="s">
        <v>401</v>
      </c>
      <c r="D68" s="128"/>
      <c r="E68" s="128"/>
      <c r="F68" s="91" t="s">
        <v>350</v>
      </c>
      <c r="G68" s="91" t="s">
        <v>351</v>
      </c>
      <c r="H68" s="91" t="s">
        <v>352</v>
      </c>
      <c r="I68" s="131">
        <v>16.81</v>
      </c>
      <c r="J68" s="123">
        <v>0.95</v>
      </c>
      <c r="K68" s="123">
        <v>1.13</v>
      </c>
      <c r="L68" s="123">
        <v>18.89</v>
      </c>
      <c r="M68" s="81"/>
      <c r="N68" s="81"/>
    </row>
    <row r="69" spans="1:14" ht="21.75">
      <c r="A69" s="310">
        <v>14</v>
      </c>
      <c r="B69" s="311" t="s">
        <v>402</v>
      </c>
      <c r="C69" s="312" t="s">
        <v>403</v>
      </c>
      <c r="D69" s="603" t="s">
        <v>404</v>
      </c>
      <c r="E69" s="571"/>
      <c r="F69" s="571"/>
      <c r="G69" s="571"/>
      <c r="H69" s="572"/>
      <c r="I69" s="314">
        <v>22.04</v>
      </c>
      <c r="J69" s="314">
        <v>1.24</v>
      </c>
      <c r="K69" s="314">
        <v>1.48</v>
      </c>
      <c r="L69" s="314">
        <v>24.76</v>
      </c>
      <c r="M69" s="81"/>
      <c r="N69" s="81"/>
    </row>
    <row r="70" spans="1:14" ht="21.75">
      <c r="A70" s="86">
        <v>15</v>
      </c>
      <c r="B70" s="326" t="s">
        <v>405</v>
      </c>
      <c r="C70" s="327" t="s">
        <v>406</v>
      </c>
      <c r="D70" s="86">
        <v>7</v>
      </c>
      <c r="E70" s="86">
        <v>4</v>
      </c>
      <c r="F70" s="329" t="s">
        <v>407</v>
      </c>
      <c r="G70" s="329" t="s">
        <v>407</v>
      </c>
      <c r="H70" s="86" t="s">
        <v>352</v>
      </c>
      <c r="I70" s="328">
        <v>8.61</v>
      </c>
      <c r="J70" s="328">
        <v>0.48</v>
      </c>
      <c r="K70" s="328">
        <v>0.58</v>
      </c>
      <c r="L70" s="328">
        <v>9.67</v>
      </c>
      <c r="M70" s="81"/>
      <c r="N70" s="81"/>
    </row>
    <row r="71" spans="1:14" ht="21.75">
      <c r="A71" s="91">
        <v>16</v>
      </c>
      <c r="B71" s="92" t="s">
        <v>408</v>
      </c>
      <c r="C71" s="93" t="s">
        <v>409</v>
      </c>
      <c r="D71" s="91">
        <v>385</v>
      </c>
      <c r="E71" s="91">
        <v>4</v>
      </c>
      <c r="F71" s="91" t="s">
        <v>350</v>
      </c>
      <c r="G71" s="91" t="s">
        <v>351</v>
      </c>
      <c r="H71" s="91" t="s">
        <v>352</v>
      </c>
      <c r="I71" s="95">
        <v>2.23</v>
      </c>
      <c r="J71" s="96">
        <v>0.12</v>
      </c>
      <c r="K71" s="96">
        <v>0.15</v>
      </c>
      <c r="L71" s="96">
        <v>2.5</v>
      </c>
      <c r="M71" s="81"/>
      <c r="N71" s="81"/>
    </row>
    <row r="72" spans="1:14" ht="21.75">
      <c r="A72" s="91">
        <v>17</v>
      </c>
      <c r="B72" s="124" t="s">
        <v>410</v>
      </c>
      <c r="C72" s="125" t="s">
        <v>411</v>
      </c>
      <c r="D72" s="128">
        <v>150</v>
      </c>
      <c r="E72" s="128">
        <v>4</v>
      </c>
      <c r="F72" s="91" t="s">
        <v>350</v>
      </c>
      <c r="G72" s="91" t="s">
        <v>351</v>
      </c>
      <c r="H72" s="91" t="s">
        <v>352</v>
      </c>
      <c r="I72" s="123">
        <v>5.03</v>
      </c>
      <c r="J72" s="123">
        <v>0.28</v>
      </c>
      <c r="K72" s="123">
        <v>0.34</v>
      </c>
      <c r="L72" s="123">
        <v>5.65</v>
      </c>
      <c r="M72" s="81"/>
      <c r="N72" s="81"/>
    </row>
    <row r="73" spans="1:14" ht="21.75">
      <c r="A73" s="91">
        <v>18</v>
      </c>
      <c r="B73" s="124" t="s">
        <v>412</v>
      </c>
      <c r="C73" s="125" t="s">
        <v>413</v>
      </c>
      <c r="D73" s="128">
        <v>64</v>
      </c>
      <c r="E73" s="128">
        <v>3</v>
      </c>
      <c r="F73" s="91" t="s">
        <v>350</v>
      </c>
      <c r="G73" s="91" t="s">
        <v>351</v>
      </c>
      <c r="H73" s="91" t="s">
        <v>352</v>
      </c>
      <c r="I73" s="123">
        <v>33.82</v>
      </c>
      <c r="J73" s="123">
        <v>1.9</v>
      </c>
      <c r="K73" s="123">
        <v>2.28</v>
      </c>
      <c r="L73" s="123">
        <v>38</v>
      </c>
      <c r="M73" s="81"/>
      <c r="N73" s="81"/>
    </row>
    <row r="74" spans="1:14" ht="21.75">
      <c r="A74" s="91">
        <v>19</v>
      </c>
      <c r="B74" s="92" t="s">
        <v>414</v>
      </c>
      <c r="C74" s="93" t="s">
        <v>415</v>
      </c>
      <c r="D74" s="91">
        <v>64</v>
      </c>
      <c r="E74" s="91">
        <v>3</v>
      </c>
      <c r="F74" s="91" t="s">
        <v>350</v>
      </c>
      <c r="G74" s="91" t="s">
        <v>351</v>
      </c>
      <c r="H74" s="91" t="s">
        <v>352</v>
      </c>
      <c r="I74" s="95">
        <v>12.84</v>
      </c>
      <c r="J74" s="109">
        <v>0.72</v>
      </c>
      <c r="K74" s="95">
        <v>0.87</v>
      </c>
      <c r="L74" s="109">
        <v>14.43</v>
      </c>
      <c r="M74" s="81"/>
      <c r="N74" s="81"/>
    </row>
    <row r="75" spans="1:14" ht="21.75">
      <c r="A75" s="91">
        <v>20</v>
      </c>
      <c r="B75" s="124" t="s">
        <v>416</v>
      </c>
      <c r="C75" s="125" t="s">
        <v>372</v>
      </c>
      <c r="D75" s="128" t="s">
        <v>417</v>
      </c>
      <c r="E75" s="128">
        <v>4</v>
      </c>
      <c r="F75" s="91" t="s">
        <v>350</v>
      </c>
      <c r="G75" s="91" t="s">
        <v>351</v>
      </c>
      <c r="H75" s="91" t="s">
        <v>352</v>
      </c>
      <c r="I75" s="123">
        <v>43.26</v>
      </c>
      <c r="J75" s="123">
        <v>2.43</v>
      </c>
      <c r="K75" s="123">
        <v>2.92</v>
      </c>
      <c r="L75" s="123">
        <v>48.61</v>
      </c>
      <c r="M75" s="81"/>
      <c r="N75" s="81"/>
    </row>
    <row r="76" spans="1:14" ht="21.75">
      <c r="A76" s="91">
        <v>21</v>
      </c>
      <c r="B76" s="124" t="s">
        <v>418</v>
      </c>
      <c r="C76" s="125" t="s">
        <v>419</v>
      </c>
      <c r="D76" s="128">
        <v>114</v>
      </c>
      <c r="E76" s="128">
        <v>4</v>
      </c>
      <c r="F76" s="91" t="s">
        <v>350</v>
      </c>
      <c r="G76" s="91" t="s">
        <v>351</v>
      </c>
      <c r="H76" s="91" t="s">
        <v>352</v>
      </c>
      <c r="I76" s="123">
        <v>1.78</v>
      </c>
      <c r="J76" s="123">
        <v>0.1</v>
      </c>
      <c r="K76" s="123">
        <v>0.12</v>
      </c>
      <c r="L76" s="123">
        <v>2</v>
      </c>
      <c r="M76" s="81"/>
      <c r="N76" s="81"/>
    </row>
    <row r="77" spans="1:14" ht="21.75">
      <c r="A77" s="91">
        <v>22</v>
      </c>
      <c r="B77" s="124" t="s">
        <v>420</v>
      </c>
      <c r="C77" s="125" t="s">
        <v>421</v>
      </c>
      <c r="D77" s="128">
        <v>102</v>
      </c>
      <c r="E77" s="128">
        <v>4</v>
      </c>
      <c r="F77" s="91" t="s">
        <v>350</v>
      </c>
      <c r="G77" s="91" t="s">
        <v>351</v>
      </c>
      <c r="H77" s="91" t="s">
        <v>352</v>
      </c>
      <c r="I77" s="123">
        <v>5.56</v>
      </c>
      <c r="J77" s="123">
        <v>0.31</v>
      </c>
      <c r="K77" s="123">
        <v>0.38</v>
      </c>
      <c r="L77" s="123">
        <v>6.25</v>
      </c>
      <c r="M77" s="81"/>
      <c r="N77" s="81"/>
    </row>
    <row r="78" spans="1:14" ht="21.75">
      <c r="A78" s="91">
        <v>23</v>
      </c>
      <c r="B78" s="124" t="s">
        <v>422</v>
      </c>
      <c r="C78" s="125" t="s">
        <v>423</v>
      </c>
      <c r="D78" s="128">
        <v>199</v>
      </c>
      <c r="E78" s="128">
        <v>4</v>
      </c>
      <c r="F78" s="91" t="s">
        <v>350</v>
      </c>
      <c r="G78" s="91" t="s">
        <v>351</v>
      </c>
      <c r="H78" s="91" t="s">
        <v>352</v>
      </c>
      <c r="I78" s="123">
        <v>15.57</v>
      </c>
      <c r="J78" s="123">
        <v>0.88</v>
      </c>
      <c r="K78" s="123">
        <v>1.05</v>
      </c>
      <c r="L78" s="123">
        <v>17.5</v>
      </c>
      <c r="M78" s="81"/>
      <c r="N78" s="81"/>
    </row>
    <row r="79" spans="1:14" ht="21.75">
      <c r="A79" s="91">
        <v>24</v>
      </c>
      <c r="B79" s="124" t="s">
        <v>424</v>
      </c>
      <c r="C79" s="125" t="s">
        <v>425</v>
      </c>
      <c r="D79" s="128" t="s">
        <v>426</v>
      </c>
      <c r="E79" s="128">
        <v>4</v>
      </c>
      <c r="F79" s="91" t="s">
        <v>350</v>
      </c>
      <c r="G79" s="91" t="s">
        <v>351</v>
      </c>
      <c r="H79" s="91" t="s">
        <v>352</v>
      </c>
      <c r="I79" s="123">
        <v>43.61</v>
      </c>
      <c r="J79" s="123">
        <v>2.45</v>
      </c>
      <c r="K79" s="123">
        <v>2.94</v>
      </c>
      <c r="L79" s="123">
        <v>49</v>
      </c>
      <c r="M79" s="81"/>
      <c r="N79" s="81"/>
    </row>
    <row r="80" spans="1:14" ht="21.75">
      <c r="A80" s="91">
        <v>25</v>
      </c>
      <c r="B80" s="124" t="s">
        <v>427</v>
      </c>
      <c r="C80" s="125" t="s">
        <v>428</v>
      </c>
      <c r="D80" s="128">
        <v>167</v>
      </c>
      <c r="E80" s="128">
        <v>4</v>
      </c>
      <c r="F80" s="91" t="s">
        <v>350</v>
      </c>
      <c r="G80" s="91" t="s">
        <v>351</v>
      </c>
      <c r="H80" s="91" t="s">
        <v>352</v>
      </c>
      <c r="I80" s="123">
        <v>11.57</v>
      </c>
      <c r="J80" s="123">
        <v>0.65</v>
      </c>
      <c r="K80" s="123">
        <v>0.78</v>
      </c>
      <c r="L80" s="123">
        <v>13</v>
      </c>
      <c r="M80" s="81"/>
      <c r="N80" s="81"/>
    </row>
    <row r="81" spans="1:14" ht="21.75">
      <c r="A81" s="91">
        <v>26</v>
      </c>
      <c r="B81" s="124" t="s">
        <v>429</v>
      </c>
      <c r="C81" s="125" t="s">
        <v>430</v>
      </c>
      <c r="D81" s="128">
        <v>270</v>
      </c>
      <c r="E81" s="128">
        <v>4</v>
      </c>
      <c r="F81" s="128" t="s">
        <v>350</v>
      </c>
      <c r="G81" s="128" t="s">
        <v>351</v>
      </c>
      <c r="H81" s="128" t="s">
        <v>352</v>
      </c>
      <c r="I81" s="123">
        <v>25.9</v>
      </c>
      <c r="J81" s="123">
        <v>1.45</v>
      </c>
      <c r="K81" s="123">
        <v>1.75</v>
      </c>
      <c r="L81" s="123">
        <v>29.1</v>
      </c>
      <c r="M81" s="81"/>
      <c r="N81" s="81"/>
    </row>
    <row r="82" spans="1:14" ht="21.75">
      <c r="A82" s="91">
        <v>27</v>
      </c>
      <c r="B82" s="124" t="s">
        <v>431</v>
      </c>
      <c r="C82" s="125" t="s">
        <v>432</v>
      </c>
      <c r="D82" s="128">
        <v>88</v>
      </c>
      <c r="E82" s="128">
        <v>4</v>
      </c>
      <c r="F82" s="128" t="s">
        <v>350</v>
      </c>
      <c r="G82" s="128" t="s">
        <v>351</v>
      </c>
      <c r="H82" s="128" t="s">
        <v>352</v>
      </c>
      <c r="I82" s="123">
        <v>72.55</v>
      </c>
      <c r="J82" s="123">
        <v>4.08</v>
      </c>
      <c r="K82" s="123">
        <v>4.89</v>
      </c>
      <c r="L82" s="123">
        <v>81.52</v>
      </c>
      <c r="M82" s="81"/>
      <c r="N82" s="81"/>
    </row>
    <row r="83" spans="1:14" ht="21.75">
      <c r="A83" s="91">
        <v>28</v>
      </c>
      <c r="B83" s="124" t="s">
        <v>433</v>
      </c>
      <c r="C83" s="125" t="s">
        <v>386</v>
      </c>
      <c r="D83" s="128">
        <v>214</v>
      </c>
      <c r="E83" s="128">
        <v>4</v>
      </c>
      <c r="F83" s="128" t="s">
        <v>350</v>
      </c>
      <c r="G83" s="128" t="s">
        <v>351</v>
      </c>
      <c r="H83" s="128" t="s">
        <v>352</v>
      </c>
      <c r="I83" s="123">
        <v>9.51</v>
      </c>
      <c r="J83" s="123">
        <v>0.53</v>
      </c>
      <c r="K83" s="123">
        <v>0.64</v>
      </c>
      <c r="L83" s="123">
        <v>10.68</v>
      </c>
      <c r="M83" s="81"/>
      <c r="N83" s="81"/>
    </row>
    <row r="84" spans="1:14" ht="21.75">
      <c r="A84" s="91">
        <v>29</v>
      </c>
      <c r="B84" s="92" t="s">
        <v>373</v>
      </c>
      <c r="C84" s="93" t="s">
        <v>374</v>
      </c>
      <c r="D84" s="91">
        <v>6</v>
      </c>
      <c r="E84" s="91">
        <v>11</v>
      </c>
      <c r="F84" s="91" t="s">
        <v>350</v>
      </c>
      <c r="G84" s="91" t="s">
        <v>351</v>
      </c>
      <c r="H84" s="91" t="s">
        <v>352</v>
      </c>
      <c r="I84" s="96">
        <v>40.57</v>
      </c>
      <c r="J84" s="96">
        <v>2.28</v>
      </c>
      <c r="K84" s="96">
        <v>2.73</v>
      </c>
      <c r="L84" s="96">
        <v>45.58</v>
      </c>
      <c r="M84" s="81"/>
      <c r="N84" s="81"/>
    </row>
    <row r="85" spans="1:14" ht="21.75">
      <c r="A85" s="91">
        <v>30</v>
      </c>
      <c r="B85" s="124" t="s">
        <v>434</v>
      </c>
      <c r="C85" s="129" t="s">
        <v>364</v>
      </c>
      <c r="D85" s="128">
        <v>234</v>
      </c>
      <c r="E85" s="128">
        <v>5</v>
      </c>
      <c r="F85" s="113" t="s">
        <v>350</v>
      </c>
      <c r="G85" s="113" t="s">
        <v>351</v>
      </c>
      <c r="H85" s="113" t="s">
        <v>352</v>
      </c>
      <c r="I85" s="123">
        <v>123.6</v>
      </c>
      <c r="J85" s="123">
        <v>6.94</v>
      </c>
      <c r="K85" s="123">
        <v>8.33</v>
      </c>
      <c r="L85" s="123">
        <v>138.87</v>
      </c>
      <c r="M85" s="81"/>
      <c r="N85" s="81"/>
    </row>
    <row r="86" spans="1:14" ht="21.75">
      <c r="A86" s="91">
        <v>31</v>
      </c>
      <c r="B86" s="92" t="s">
        <v>435</v>
      </c>
      <c r="C86" s="93" t="s">
        <v>380</v>
      </c>
      <c r="D86" s="91">
        <v>199</v>
      </c>
      <c r="E86" s="91">
        <v>6</v>
      </c>
      <c r="F86" s="113" t="s">
        <v>350</v>
      </c>
      <c r="G86" s="113" t="s">
        <v>351</v>
      </c>
      <c r="H86" s="113" t="s">
        <v>352</v>
      </c>
      <c r="I86" s="96">
        <v>26.34</v>
      </c>
      <c r="J86" s="96">
        <v>1.48</v>
      </c>
      <c r="K86" s="96">
        <v>1.78</v>
      </c>
      <c r="L86" s="123">
        <v>29.6</v>
      </c>
      <c r="M86" s="81"/>
      <c r="N86" s="81"/>
    </row>
    <row r="87" spans="1:15" ht="21.75">
      <c r="A87" s="91">
        <v>32</v>
      </c>
      <c r="B87" s="92" t="s">
        <v>436</v>
      </c>
      <c r="C87" s="93" t="s">
        <v>354</v>
      </c>
      <c r="D87" s="91">
        <v>271</v>
      </c>
      <c r="E87" s="91">
        <v>5</v>
      </c>
      <c r="F87" s="113" t="s">
        <v>350</v>
      </c>
      <c r="G87" s="113" t="s">
        <v>351</v>
      </c>
      <c r="H87" s="113" t="s">
        <v>352</v>
      </c>
      <c r="I87" s="96">
        <v>24.32</v>
      </c>
      <c r="J87" s="96">
        <v>1.36</v>
      </c>
      <c r="K87" s="96">
        <v>1.64</v>
      </c>
      <c r="L87" s="123">
        <v>27.32</v>
      </c>
      <c r="M87" s="81"/>
      <c r="N87" s="133"/>
      <c r="O87" s="134"/>
    </row>
    <row r="88" spans="1:15" ht="21.75">
      <c r="A88" s="91">
        <v>33</v>
      </c>
      <c r="B88" s="92" t="s">
        <v>437</v>
      </c>
      <c r="C88" s="93" t="s">
        <v>438</v>
      </c>
      <c r="D88" s="91">
        <v>127</v>
      </c>
      <c r="E88" s="91">
        <v>5</v>
      </c>
      <c r="F88" s="91" t="s">
        <v>350</v>
      </c>
      <c r="G88" s="91" t="s">
        <v>351</v>
      </c>
      <c r="H88" s="91" t="s">
        <v>352</v>
      </c>
      <c r="I88" s="95">
        <v>50.67</v>
      </c>
      <c r="J88" s="96">
        <v>2.85</v>
      </c>
      <c r="K88" s="96">
        <v>3.41</v>
      </c>
      <c r="L88" s="123">
        <v>56.93</v>
      </c>
      <c r="M88" s="81"/>
      <c r="N88" s="133"/>
      <c r="O88" s="134"/>
    </row>
    <row r="89" spans="1:15" ht="21.75">
      <c r="A89" s="91">
        <v>34</v>
      </c>
      <c r="B89" s="124" t="s">
        <v>377</v>
      </c>
      <c r="C89" s="125" t="s">
        <v>378</v>
      </c>
      <c r="D89" s="128">
        <v>74</v>
      </c>
      <c r="E89" s="128">
        <v>5</v>
      </c>
      <c r="F89" s="91" t="s">
        <v>350</v>
      </c>
      <c r="G89" s="91" t="s">
        <v>351</v>
      </c>
      <c r="H89" s="91" t="s">
        <v>352</v>
      </c>
      <c r="I89" s="123">
        <v>23.79</v>
      </c>
      <c r="J89" s="123">
        <v>1.34</v>
      </c>
      <c r="K89" s="123">
        <v>1.6</v>
      </c>
      <c r="L89" s="123">
        <v>26.73</v>
      </c>
      <c r="M89" s="81"/>
      <c r="N89" s="133"/>
      <c r="O89" s="134"/>
    </row>
    <row r="90" spans="1:14" ht="21.75">
      <c r="A90" s="598" t="s">
        <v>53</v>
      </c>
      <c r="B90" s="598"/>
      <c r="C90" s="598"/>
      <c r="D90" s="598"/>
      <c r="E90" s="598"/>
      <c r="F90" s="598"/>
      <c r="G90" s="598"/>
      <c r="H90" s="598"/>
      <c r="I90" s="97">
        <f>SUM(I62:I89)</f>
        <v>781.8899999999999</v>
      </c>
      <c r="J90" s="97">
        <f>SUM(J62:J89)</f>
        <v>43.91</v>
      </c>
      <c r="K90" s="97">
        <f>SUM(K62:K89)</f>
        <v>52.71</v>
      </c>
      <c r="L90" s="97">
        <f>SUM(L62:L89)</f>
        <v>878.5100000000001</v>
      </c>
      <c r="M90" s="81"/>
      <c r="N90" s="81"/>
    </row>
    <row r="91" spans="1:14" ht="21.75">
      <c r="A91" s="107"/>
      <c r="B91" s="107"/>
      <c r="C91" s="107"/>
      <c r="D91" s="107"/>
      <c r="E91" s="107"/>
      <c r="F91" s="107"/>
      <c r="G91" s="107"/>
      <c r="H91" s="107"/>
      <c r="I91" s="130"/>
      <c r="J91" s="130"/>
      <c r="K91" s="130"/>
      <c r="L91" s="130"/>
      <c r="M91" s="81"/>
      <c r="N91" s="81"/>
    </row>
    <row r="92" spans="1:14" ht="23.25">
      <c r="A92" s="588" t="s">
        <v>360</v>
      </c>
      <c r="B92" s="588"/>
      <c r="C92" s="588"/>
      <c r="D92" s="588"/>
      <c r="E92" s="588"/>
      <c r="F92" s="588"/>
      <c r="G92" s="588"/>
      <c r="H92" s="588"/>
      <c r="I92" s="588"/>
      <c r="J92" s="588"/>
      <c r="K92" s="588"/>
      <c r="L92" s="588"/>
      <c r="M92" s="81"/>
      <c r="N92" s="81"/>
    </row>
    <row r="93" spans="1:14" ht="23.25">
      <c r="A93" s="588" t="s">
        <v>381</v>
      </c>
      <c r="B93" s="588"/>
      <c r="C93" s="588"/>
      <c r="D93" s="588"/>
      <c r="E93" s="588"/>
      <c r="F93" s="588"/>
      <c r="G93" s="588"/>
      <c r="H93" s="588"/>
      <c r="I93" s="588"/>
      <c r="J93" s="588"/>
      <c r="K93" s="588"/>
      <c r="L93" s="588"/>
      <c r="M93" s="81"/>
      <c r="N93" s="81"/>
    </row>
    <row r="94" spans="1:14" ht="23.25">
      <c r="A94" s="599" t="s">
        <v>362</v>
      </c>
      <c r="B94" s="599"/>
      <c r="C94" s="599"/>
      <c r="D94" s="599"/>
      <c r="E94" s="599"/>
      <c r="F94" s="599"/>
      <c r="G94" s="599"/>
      <c r="H94" s="599"/>
      <c r="I94" s="599"/>
      <c r="J94" s="599"/>
      <c r="K94" s="599"/>
      <c r="L94" s="599"/>
      <c r="M94" s="81"/>
      <c r="N94" s="81"/>
    </row>
    <row r="95" spans="1:14" ht="21.75">
      <c r="A95" s="100" t="s">
        <v>337</v>
      </c>
      <c r="B95" s="592" t="s">
        <v>338</v>
      </c>
      <c r="C95" s="594" t="s">
        <v>339</v>
      </c>
      <c r="D95" s="596" t="s">
        <v>340</v>
      </c>
      <c r="E95" s="596" t="s">
        <v>341</v>
      </c>
      <c r="F95" s="596" t="s">
        <v>342</v>
      </c>
      <c r="G95" s="596" t="s">
        <v>343</v>
      </c>
      <c r="H95" s="596" t="s">
        <v>344</v>
      </c>
      <c r="I95" s="82" t="s">
        <v>345</v>
      </c>
      <c r="J95" s="83">
        <v>0.05</v>
      </c>
      <c r="K95" s="83">
        <v>0.06</v>
      </c>
      <c r="L95" s="82" t="s">
        <v>278</v>
      </c>
      <c r="M95" s="81"/>
      <c r="N95" s="81"/>
    </row>
    <row r="96" spans="1:14" ht="21.75">
      <c r="A96" s="101" t="s">
        <v>346</v>
      </c>
      <c r="B96" s="593"/>
      <c r="C96" s="595"/>
      <c r="D96" s="597"/>
      <c r="E96" s="597"/>
      <c r="F96" s="597"/>
      <c r="G96" s="597"/>
      <c r="H96" s="597"/>
      <c r="I96" s="85">
        <v>0.89</v>
      </c>
      <c r="J96" s="85"/>
      <c r="K96" s="85"/>
      <c r="L96" s="84" t="s">
        <v>347</v>
      </c>
      <c r="M96" s="81"/>
      <c r="N96" s="81"/>
    </row>
    <row r="97" spans="1:14" ht="21.75">
      <c r="A97" s="91">
        <v>35</v>
      </c>
      <c r="B97" s="124" t="s">
        <v>439</v>
      </c>
      <c r="C97" s="125" t="s">
        <v>440</v>
      </c>
      <c r="D97" s="128" t="s">
        <v>441</v>
      </c>
      <c r="E97" s="128">
        <v>5</v>
      </c>
      <c r="F97" s="91" t="s">
        <v>350</v>
      </c>
      <c r="G97" s="91" t="s">
        <v>351</v>
      </c>
      <c r="H97" s="91" t="s">
        <v>352</v>
      </c>
      <c r="I97" s="123">
        <v>40.94</v>
      </c>
      <c r="J97" s="123">
        <v>2.3</v>
      </c>
      <c r="K97" s="123">
        <v>2.76</v>
      </c>
      <c r="L97" s="123">
        <v>46</v>
      </c>
      <c r="M97" s="81"/>
      <c r="N97" s="81"/>
    </row>
    <row r="98" spans="1:14" ht="21.75">
      <c r="A98" s="128">
        <v>36</v>
      </c>
      <c r="B98" s="124" t="s">
        <v>442</v>
      </c>
      <c r="C98" s="125" t="s">
        <v>443</v>
      </c>
      <c r="D98" s="128" t="s">
        <v>444</v>
      </c>
      <c r="E98" s="127" t="s">
        <v>445</v>
      </c>
      <c r="F98" s="91" t="s">
        <v>400</v>
      </c>
      <c r="G98" s="91" t="s">
        <v>351</v>
      </c>
      <c r="H98" s="91" t="s">
        <v>352</v>
      </c>
      <c r="I98" s="123">
        <v>20.47</v>
      </c>
      <c r="J98" s="123">
        <v>1.15</v>
      </c>
      <c r="K98" s="123">
        <v>1.38</v>
      </c>
      <c r="L98" s="123">
        <v>23</v>
      </c>
      <c r="M98" s="81"/>
      <c r="N98" s="81"/>
    </row>
    <row r="99" spans="1:14" ht="21.75">
      <c r="A99" s="91">
        <v>37</v>
      </c>
      <c r="B99" s="92" t="s">
        <v>446</v>
      </c>
      <c r="C99" s="93" t="s">
        <v>447</v>
      </c>
      <c r="D99" s="91">
        <v>26</v>
      </c>
      <c r="E99" s="91">
        <v>6</v>
      </c>
      <c r="F99" s="91" t="s">
        <v>350</v>
      </c>
      <c r="G99" s="91" t="s">
        <v>351</v>
      </c>
      <c r="H99" s="91" t="s">
        <v>352</v>
      </c>
      <c r="I99" s="95">
        <v>32.89</v>
      </c>
      <c r="J99" s="109">
        <v>1.85</v>
      </c>
      <c r="K99" s="95">
        <v>2.21</v>
      </c>
      <c r="L99" s="109">
        <v>36.95</v>
      </c>
      <c r="M99" s="81"/>
      <c r="N99" s="81"/>
    </row>
    <row r="100" spans="1:14" ht="21.75">
      <c r="A100" s="128">
        <v>38</v>
      </c>
      <c r="B100" s="124" t="s">
        <v>448</v>
      </c>
      <c r="C100" s="125" t="s">
        <v>449</v>
      </c>
      <c r="D100" s="135" t="s">
        <v>450</v>
      </c>
      <c r="E100" s="135"/>
      <c r="F100" s="135"/>
      <c r="G100" s="135" t="s">
        <v>451</v>
      </c>
      <c r="H100" s="135"/>
      <c r="I100" s="123">
        <v>10.52</v>
      </c>
      <c r="J100" s="123">
        <v>0.59</v>
      </c>
      <c r="K100" s="123">
        <v>0.71</v>
      </c>
      <c r="L100" s="123">
        <v>11.82</v>
      </c>
      <c r="M100" s="81"/>
      <c r="N100" s="81"/>
    </row>
    <row r="101" spans="1:14" ht="21.75">
      <c r="A101" s="91">
        <v>39</v>
      </c>
      <c r="B101" s="124" t="s">
        <v>452</v>
      </c>
      <c r="C101" s="125" t="s">
        <v>453</v>
      </c>
      <c r="D101" s="128">
        <v>194</v>
      </c>
      <c r="E101" s="128">
        <v>8</v>
      </c>
      <c r="F101" s="91" t="s">
        <v>350</v>
      </c>
      <c r="G101" s="91" t="s">
        <v>351</v>
      </c>
      <c r="H101" s="91" t="s">
        <v>352</v>
      </c>
      <c r="I101" s="123">
        <v>0.89</v>
      </c>
      <c r="J101" s="123">
        <v>0.05</v>
      </c>
      <c r="K101" s="123">
        <v>0.06</v>
      </c>
      <c r="L101" s="123">
        <v>1</v>
      </c>
      <c r="M101" s="81"/>
      <c r="N101" s="81"/>
    </row>
    <row r="102" spans="1:14" ht="21.75">
      <c r="A102" s="128">
        <v>40</v>
      </c>
      <c r="B102" s="124" t="s">
        <v>454</v>
      </c>
      <c r="C102" s="125" t="s">
        <v>455</v>
      </c>
      <c r="D102" s="128">
        <v>194</v>
      </c>
      <c r="E102" s="128">
        <v>8</v>
      </c>
      <c r="F102" s="91" t="s">
        <v>350</v>
      </c>
      <c r="G102" s="91" t="s">
        <v>351</v>
      </c>
      <c r="H102" s="91" t="s">
        <v>352</v>
      </c>
      <c r="I102" s="123">
        <v>73.66</v>
      </c>
      <c r="J102" s="123">
        <v>4.14</v>
      </c>
      <c r="K102" s="123">
        <v>4.96</v>
      </c>
      <c r="L102" s="123">
        <v>82.76</v>
      </c>
      <c r="M102" s="81"/>
      <c r="N102" s="81"/>
    </row>
    <row r="103" spans="1:14" ht="21.75">
      <c r="A103" s="91">
        <v>41</v>
      </c>
      <c r="B103" s="92" t="s">
        <v>456</v>
      </c>
      <c r="C103" s="93" t="s">
        <v>457</v>
      </c>
      <c r="D103" s="91">
        <v>77</v>
      </c>
      <c r="E103" s="91">
        <v>9</v>
      </c>
      <c r="F103" s="91" t="s">
        <v>350</v>
      </c>
      <c r="G103" s="91" t="s">
        <v>351</v>
      </c>
      <c r="H103" s="91" t="s">
        <v>352</v>
      </c>
      <c r="I103" s="96">
        <v>6.29</v>
      </c>
      <c r="J103" s="96">
        <v>0.35</v>
      </c>
      <c r="K103" s="96">
        <v>0.43</v>
      </c>
      <c r="L103" s="96">
        <v>7.07</v>
      </c>
      <c r="M103" s="81"/>
      <c r="N103" s="81"/>
    </row>
    <row r="104" spans="1:14" ht="21.75">
      <c r="A104" s="310">
        <v>42</v>
      </c>
      <c r="B104" s="311" t="s">
        <v>458</v>
      </c>
      <c r="C104" s="312" t="s">
        <v>459</v>
      </c>
      <c r="D104" s="310">
        <v>86</v>
      </c>
      <c r="E104" s="310">
        <v>10</v>
      </c>
      <c r="F104" s="315" t="s">
        <v>350</v>
      </c>
      <c r="G104" s="315" t="s">
        <v>351</v>
      </c>
      <c r="H104" s="315" t="s">
        <v>352</v>
      </c>
      <c r="I104" s="314">
        <v>4.15</v>
      </c>
      <c r="J104" s="314">
        <v>0.23</v>
      </c>
      <c r="K104" s="314">
        <v>0.28</v>
      </c>
      <c r="L104" s="314">
        <v>4.66</v>
      </c>
      <c r="M104" s="81"/>
      <c r="N104" s="81"/>
    </row>
    <row r="105" spans="1:14" ht="21.75">
      <c r="A105" s="86">
        <v>43</v>
      </c>
      <c r="B105" s="87" t="s">
        <v>460</v>
      </c>
      <c r="C105" s="88" t="s">
        <v>461</v>
      </c>
      <c r="D105" s="86">
        <v>149</v>
      </c>
      <c r="E105" s="86">
        <v>10</v>
      </c>
      <c r="F105" s="325" t="s">
        <v>350</v>
      </c>
      <c r="G105" s="325" t="s">
        <v>351</v>
      </c>
      <c r="H105" s="325" t="s">
        <v>352</v>
      </c>
      <c r="I105" s="163">
        <v>71.09</v>
      </c>
      <c r="J105" s="163">
        <v>3.99</v>
      </c>
      <c r="K105" s="163">
        <v>4.8</v>
      </c>
      <c r="L105" s="328">
        <v>79.88</v>
      </c>
      <c r="M105" s="81"/>
      <c r="N105" s="136"/>
    </row>
    <row r="106" spans="1:14" ht="21.75">
      <c r="A106" s="128">
        <v>44</v>
      </c>
      <c r="B106" s="92" t="s">
        <v>462</v>
      </c>
      <c r="C106" s="137" t="s">
        <v>463</v>
      </c>
      <c r="D106" s="91">
        <v>248</v>
      </c>
      <c r="E106" s="91">
        <v>10</v>
      </c>
      <c r="F106" s="113" t="s">
        <v>350</v>
      </c>
      <c r="G106" s="113" t="s">
        <v>351</v>
      </c>
      <c r="H106" s="113" t="s">
        <v>352</v>
      </c>
      <c r="I106" s="96">
        <v>20.6</v>
      </c>
      <c r="J106" s="96">
        <v>1.16</v>
      </c>
      <c r="K106" s="96">
        <v>1.39</v>
      </c>
      <c r="L106" s="123">
        <v>23.15</v>
      </c>
      <c r="M106" s="81"/>
      <c r="N106" s="133"/>
    </row>
    <row r="107" spans="1:14" ht="21.75">
      <c r="A107" s="91">
        <v>45</v>
      </c>
      <c r="B107" s="92" t="s">
        <v>464</v>
      </c>
      <c r="C107" s="93" t="s">
        <v>465</v>
      </c>
      <c r="D107" s="91">
        <v>399</v>
      </c>
      <c r="E107" s="138" t="s">
        <v>466</v>
      </c>
      <c r="F107" s="113" t="s">
        <v>400</v>
      </c>
      <c r="G107" s="113" t="s">
        <v>351</v>
      </c>
      <c r="H107" s="113" t="s">
        <v>352</v>
      </c>
      <c r="I107" s="96">
        <v>26.35</v>
      </c>
      <c r="J107" s="96">
        <v>1.48</v>
      </c>
      <c r="K107" s="96">
        <v>1.78</v>
      </c>
      <c r="L107" s="96">
        <v>29.61</v>
      </c>
      <c r="M107" s="81"/>
      <c r="N107" s="81"/>
    </row>
    <row r="108" spans="1:14" ht="21.75">
      <c r="A108" s="128">
        <v>46</v>
      </c>
      <c r="B108" s="92" t="s">
        <v>467</v>
      </c>
      <c r="C108" s="137" t="s">
        <v>468</v>
      </c>
      <c r="D108" s="91">
        <v>23</v>
      </c>
      <c r="E108" s="91">
        <v>13</v>
      </c>
      <c r="F108" s="139" t="s">
        <v>469</v>
      </c>
      <c r="G108" s="139" t="s">
        <v>470</v>
      </c>
      <c r="H108" s="113" t="s">
        <v>471</v>
      </c>
      <c r="I108" s="96">
        <v>19.58</v>
      </c>
      <c r="J108" s="96">
        <v>1.1</v>
      </c>
      <c r="K108" s="96">
        <v>1.32</v>
      </c>
      <c r="L108" s="123">
        <v>22</v>
      </c>
      <c r="M108" s="81"/>
      <c r="N108" s="81"/>
    </row>
    <row r="109" spans="1:14" ht="21.75">
      <c r="A109" s="91">
        <v>47</v>
      </c>
      <c r="B109" s="124" t="s">
        <v>472</v>
      </c>
      <c r="C109" s="125" t="s">
        <v>473</v>
      </c>
      <c r="D109" s="128">
        <v>3</v>
      </c>
      <c r="E109" s="128">
        <v>11</v>
      </c>
      <c r="F109" s="91" t="s">
        <v>350</v>
      </c>
      <c r="G109" s="91" t="s">
        <v>351</v>
      </c>
      <c r="H109" s="91" t="s">
        <v>352</v>
      </c>
      <c r="I109" s="123">
        <v>34.98</v>
      </c>
      <c r="J109" s="123">
        <v>1.97</v>
      </c>
      <c r="K109" s="123">
        <v>2.35</v>
      </c>
      <c r="L109" s="123">
        <v>39.3</v>
      </c>
      <c r="M109" s="81"/>
      <c r="N109" s="81"/>
    </row>
    <row r="110" spans="1:14" ht="21.75">
      <c r="A110" s="128">
        <v>48</v>
      </c>
      <c r="B110" s="124" t="s">
        <v>474</v>
      </c>
      <c r="C110" s="125" t="s">
        <v>475</v>
      </c>
      <c r="D110" s="128">
        <v>56</v>
      </c>
      <c r="E110" s="128">
        <v>10</v>
      </c>
      <c r="F110" s="91" t="s">
        <v>476</v>
      </c>
      <c r="G110" s="91" t="s">
        <v>351</v>
      </c>
      <c r="H110" s="91" t="s">
        <v>352</v>
      </c>
      <c r="I110" s="123">
        <v>10.57</v>
      </c>
      <c r="J110" s="123">
        <v>0.59</v>
      </c>
      <c r="K110" s="123">
        <v>0.72</v>
      </c>
      <c r="L110" s="123">
        <v>11.88</v>
      </c>
      <c r="M110" s="81"/>
      <c r="N110" s="81"/>
    </row>
    <row r="111" spans="1:14" ht="21.75">
      <c r="A111" s="128">
        <v>49</v>
      </c>
      <c r="B111" s="124" t="s">
        <v>477</v>
      </c>
      <c r="C111" s="125" t="s">
        <v>478</v>
      </c>
      <c r="D111" s="128">
        <v>123</v>
      </c>
      <c r="E111" s="128">
        <v>3</v>
      </c>
      <c r="F111" s="91" t="s">
        <v>359</v>
      </c>
      <c r="G111" s="91" t="s">
        <v>351</v>
      </c>
      <c r="H111" s="91" t="s">
        <v>352</v>
      </c>
      <c r="I111" s="123">
        <v>10.19</v>
      </c>
      <c r="J111" s="123">
        <v>0.57</v>
      </c>
      <c r="K111" s="123">
        <v>0.69</v>
      </c>
      <c r="L111" s="123">
        <v>11.45</v>
      </c>
      <c r="M111" s="81"/>
      <c r="N111" s="81"/>
    </row>
    <row r="112" spans="1:14" ht="21.75">
      <c r="A112" s="91">
        <v>50</v>
      </c>
      <c r="B112" s="124" t="s">
        <v>479</v>
      </c>
      <c r="C112" s="129" t="s">
        <v>480</v>
      </c>
      <c r="D112" s="128">
        <v>36</v>
      </c>
      <c r="E112" s="128">
        <v>12</v>
      </c>
      <c r="F112" s="91" t="s">
        <v>350</v>
      </c>
      <c r="G112" s="91" t="s">
        <v>351</v>
      </c>
      <c r="H112" s="91" t="s">
        <v>352</v>
      </c>
      <c r="I112" s="123">
        <v>4.26</v>
      </c>
      <c r="J112" s="123">
        <v>0.24</v>
      </c>
      <c r="K112" s="123">
        <v>0.28</v>
      </c>
      <c r="L112" s="123">
        <v>4.78</v>
      </c>
      <c r="M112" s="81"/>
      <c r="N112" s="81"/>
    </row>
    <row r="113" spans="1:14" ht="21.75">
      <c r="A113" s="128">
        <v>51</v>
      </c>
      <c r="B113" s="124" t="s">
        <v>481</v>
      </c>
      <c r="C113" s="125" t="s">
        <v>380</v>
      </c>
      <c r="D113" s="128">
        <v>41</v>
      </c>
      <c r="E113" s="128">
        <v>12</v>
      </c>
      <c r="F113" s="91" t="s">
        <v>350</v>
      </c>
      <c r="G113" s="91" t="s">
        <v>351</v>
      </c>
      <c r="H113" s="91" t="s">
        <v>352</v>
      </c>
      <c r="I113" s="123">
        <v>113.52</v>
      </c>
      <c r="J113" s="123">
        <v>6.38</v>
      </c>
      <c r="K113" s="123">
        <v>7.65</v>
      </c>
      <c r="L113" s="123">
        <v>127.55</v>
      </c>
      <c r="M113" s="81"/>
      <c r="N113" s="81"/>
    </row>
    <row r="114" spans="1:14" ht="21.75">
      <c r="A114" s="598" t="s">
        <v>53</v>
      </c>
      <c r="B114" s="598"/>
      <c r="C114" s="598"/>
      <c r="D114" s="598"/>
      <c r="E114" s="598"/>
      <c r="F114" s="598"/>
      <c r="G114" s="598"/>
      <c r="H114" s="598"/>
      <c r="I114" s="97">
        <f>SUM(I97:I113)</f>
        <v>500.95</v>
      </c>
      <c r="J114" s="97">
        <f>SUM(J97:J113)</f>
        <v>28.139999999999997</v>
      </c>
      <c r="K114" s="97">
        <f>SUM(K97:K113)</f>
        <v>33.77</v>
      </c>
      <c r="L114" s="97">
        <f>SUM(L97:L113)</f>
        <v>562.8599999999999</v>
      </c>
      <c r="M114" s="81"/>
      <c r="N114" s="81"/>
    </row>
    <row r="115" spans="1:14" ht="21.75">
      <c r="A115" s="107"/>
      <c r="B115" s="107"/>
      <c r="C115" s="107"/>
      <c r="D115" s="107"/>
      <c r="E115" s="107"/>
      <c r="F115" s="107"/>
      <c r="G115" s="107"/>
      <c r="H115" s="107"/>
      <c r="I115" s="130"/>
      <c r="J115" s="130"/>
      <c r="K115" s="130"/>
      <c r="L115" s="130"/>
      <c r="M115" s="81"/>
      <c r="N115" s="81"/>
    </row>
    <row r="116" spans="1:14" ht="21.75">
      <c r="A116" s="573" t="s">
        <v>360</v>
      </c>
      <c r="B116" s="573"/>
      <c r="C116" s="573"/>
      <c r="D116" s="573"/>
      <c r="E116" s="573"/>
      <c r="F116" s="573"/>
      <c r="G116" s="573"/>
      <c r="H116" s="573"/>
      <c r="I116" s="573"/>
      <c r="J116" s="573"/>
      <c r="K116" s="573"/>
      <c r="L116" s="573"/>
      <c r="M116" s="81"/>
      <c r="N116" s="81"/>
    </row>
    <row r="117" spans="1:14" ht="21.75">
      <c r="A117" s="573" t="s">
        <v>482</v>
      </c>
      <c r="B117" s="573"/>
      <c r="C117" s="573"/>
      <c r="D117" s="573"/>
      <c r="E117" s="573"/>
      <c r="F117" s="573"/>
      <c r="G117" s="573"/>
      <c r="H117" s="573"/>
      <c r="I117" s="573"/>
      <c r="J117" s="573"/>
      <c r="K117" s="573"/>
      <c r="L117" s="573"/>
      <c r="M117" s="81"/>
      <c r="N117" s="81"/>
    </row>
    <row r="118" spans="1:14" ht="21.75">
      <c r="A118" s="574" t="s">
        <v>362</v>
      </c>
      <c r="B118" s="574"/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81"/>
      <c r="N118" s="81"/>
    </row>
    <row r="119" spans="1:14" ht="21.75">
      <c r="A119" s="100" t="s">
        <v>337</v>
      </c>
      <c r="B119" s="592" t="s">
        <v>338</v>
      </c>
      <c r="C119" s="594" t="s">
        <v>339</v>
      </c>
      <c r="D119" s="596" t="s">
        <v>340</v>
      </c>
      <c r="E119" s="596" t="s">
        <v>341</v>
      </c>
      <c r="F119" s="596" t="s">
        <v>342</v>
      </c>
      <c r="G119" s="596" t="s">
        <v>343</v>
      </c>
      <c r="H119" s="596" t="s">
        <v>344</v>
      </c>
      <c r="I119" s="82" t="s">
        <v>345</v>
      </c>
      <c r="J119" s="83">
        <v>0.05</v>
      </c>
      <c r="K119" s="83">
        <v>0.06</v>
      </c>
      <c r="L119" s="82" t="s">
        <v>278</v>
      </c>
      <c r="M119" s="81"/>
      <c r="N119" s="81"/>
    </row>
    <row r="120" spans="1:14" ht="21.75">
      <c r="A120" s="101" t="s">
        <v>346</v>
      </c>
      <c r="B120" s="593"/>
      <c r="C120" s="595"/>
      <c r="D120" s="597"/>
      <c r="E120" s="597"/>
      <c r="F120" s="597"/>
      <c r="G120" s="597"/>
      <c r="H120" s="597"/>
      <c r="I120" s="85">
        <v>0.89</v>
      </c>
      <c r="J120" s="85"/>
      <c r="K120" s="85"/>
      <c r="L120" s="84" t="s">
        <v>347</v>
      </c>
      <c r="M120" s="81"/>
      <c r="N120" s="81"/>
    </row>
    <row r="121" spans="1:14" ht="21.75">
      <c r="A121" s="140">
        <v>1</v>
      </c>
      <c r="B121" s="141" t="s">
        <v>483</v>
      </c>
      <c r="C121" s="142" t="s">
        <v>484</v>
      </c>
      <c r="D121" s="140">
        <v>25</v>
      </c>
      <c r="E121" s="140">
        <v>1</v>
      </c>
      <c r="F121" s="91" t="s">
        <v>350</v>
      </c>
      <c r="G121" s="91" t="s">
        <v>351</v>
      </c>
      <c r="H121" s="91" t="s">
        <v>352</v>
      </c>
      <c r="I121" s="143">
        <v>48.5</v>
      </c>
      <c r="J121" s="143">
        <v>2.73</v>
      </c>
      <c r="K121" s="143">
        <v>3.27</v>
      </c>
      <c r="L121" s="144">
        <v>54.5</v>
      </c>
      <c r="M121" s="81"/>
      <c r="N121" s="81"/>
    </row>
    <row r="122" spans="1:14" ht="21.75">
      <c r="A122" s="145">
        <v>2</v>
      </c>
      <c r="B122" s="146" t="s">
        <v>485</v>
      </c>
      <c r="C122" s="147" t="s">
        <v>486</v>
      </c>
      <c r="D122" s="145">
        <v>50</v>
      </c>
      <c r="E122" s="145">
        <v>1</v>
      </c>
      <c r="F122" s="91" t="s">
        <v>350</v>
      </c>
      <c r="G122" s="91" t="s">
        <v>351</v>
      </c>
      <c r="H122" s="91" t="s">
        <v>352</v>
      </c>
      <c r="I122" s="148">
        <v>27.81</v>
      </c>
      <c r="J122" s="148">
        <v>1.56</v>
      </c>
      <c r="K122" s="148">
        <v>1.88</v>
      </c>
      <c r="L122" s="149">
        <v>31.25</v>
      </c>
      <c r="M122" s="81"/>
      <c r="N122" s="81"/>
    </row>
    <row r="123" spans="1:14" ht="21.75">
      <c r="A123" s="145">
        <v>3</v>
      </c>
      <c r="B123" s="146" t="s">
        <v>487</v>
      </c>
      <c r="C123" s="147" t="s">
        <v>349</v>
      </c>
      <c r="D123" s="145">
        <v>15</v>
      </c>
      <c r="E123" s="145">
        <v>1</v>
      </c>
      <c r="F123" s="91" t="s">
        <v>350</v>
      </c>
      <c r="G123" s="91" t="s">
        <v>351</v>
      </c>
      <c r="H123" s="91" t="s">
        <v>352</v>
      </c>
      <c r="I123" s="149">
        <v>33.7</v>
      </c>
      <c r="J123" s="149">
        <v>1.89</v>
      </c>
      <c r="K123" s="149">
        <v>2.27</v>
      </c>
      <c r="L123" s="149">
        <v>37.86</v>
      </c>
      <c r="M123" s="81"/>
      <c r="N123" s="81"/>
    </row>
    <row r="124" spans="1:14" ht="21.75">
      <c r="A124" s="145">
        <v>4</v>
      </c>
      <c r="B124" s="124" t="s">
        <v>384</v>
      </c>
      <c r="C124" s="125" t="s">
        <v>364</v>
      </c>
      <c r="D124" s="128">
        <v>29</v>
      </c>
      <c r="E124" s="128">
        <v>2</v>
      </c>
      <c r="F124" s="91" t="s">
        <v>350</v>
      </c>
      <c r="G124" s="91" t="s">
        <v>351</v>
      </c>
      <c r="H124" s="91" t="s">
        <v>352</v>
      </c>
      <c r="I124" s="123">
        <v>8.9</v>
      </c>
      <c r="J124" s="123">
        <v>0.5</v>
      </c>
      <c r="K124" s="123">
        <v>0.6</v>
      </c>
      <c r="L124" s="123">
        <v>10</v>
      </c>
      <c r="M124" s="81"/>
      <c r="N124" s="81"/>
    </row>
    <row r="125" spans="1:14" ht="21.75">
      <c r="A125" s="145">
        <v>5</v>
      </c>
      <c r="B125" s="124" t="s">
        <v>385</v>
      </c>
      <c r="C125" s="125" t="s">
        <v>386</v>
      </c>
      <c r="D125" s="128"/>
      <c r="E125" s="128"/>
      <c r="F125" s="91" t="s">
        <v>350</v>
      </c>
      <c r="G125" s="91" t="s">
        <v>351</v>
      </c>
      <c r="H125" s="91" t="s">
        <v>352</v>
      </c>
      <c r="I125" s="123">
        <v>8.9</v>
      </c>
      <c r="J125" s="123">
        <v>0.5</v>
      </c>
      <c r="K125" s="123">
        <v>0.6</v>
      </c>
      <c r="L125" s="123">
        <v>10</v>
      </c>
      <c r="M125" s="81"/>
      <c r="N125" s="81"/>
    </row>
    <row r="126" spans="1:14" ht="21.75">
      <c r="A126" s="145">
        <v>6</v>
      </c>
      <c r="B126" s="124" t="s">
        <v>387</v>
      </c>
      <c r="C126" s="129" t="s">
        <v>376</v>
      </c>
      <c r="D126" s="128"/>
      <c r="E126" s="128"/>
      <c r="F126" s="91" t="s">
        <v>350</v>
      </c>
      <c r="G126" s="91" t="s">
        <v>351</v>
      </c>
      <c r="H126" s="91" t="s">
        <v>352</v>
      </c>
      <c r="I126" s="123">
        <v>1.29</v>
      </c>
      <c r="J126" s="123">
        <v>0.07</v>
      </c>
      <c r="K126" s="123">
        <v>0.09</v>
      </c>
      <c r="L126" s="123">
        <v>1.45</v>
      </c>
      <c r="M126" s="81"/>
      <c r="N126" s="81"/>
    </row>
    <row r="127" spans="1:14" ht="21.75">
      <c r="A127" s="145">
        <v>7</v>
      </c>
      <c r="B127" s="146" t="s">
        <v>488</v>
      </c>
      <c r="C127" s="147" t="s">
        <v>489</v>
      </c>
      <c r="D127" s="145">
        <v>160</v>
      </c>
      <c r="E127" s="145">
        <v>2</v>
      </c>
      <c r="F127" s="91" t="s">
        <v>350</v>
      </c>
      <c r="G127" s="91" t="s">
        <v>351</v>
      </c>
      <c r="H127" s="91" t="s">
        <v>352</v>
      </c>
      <c r="I127" s="149">
        <v>72.85</v>
      </c>
      <c r="J127" s="149">
        <v>4.09</v>
      </c>
      <c r="K127" s="149">
        <v>4.91</v>
      </c>
      <c r="L127" s="149">
        <v>81.85</v>
      </c>
      <c r="M127" s="81"/>
      <c r="N127" s="81"/>
    </row>
    <row r="128" spans="1:14" ht="21.75">
      <c r="A128" s="145">
        <v>8</v>
      </c>
      <c r="B128" s="146" t="s">
        <v>490</v>
      </c>
      <c r="C128" s="147" t="s">
        <v>491</v>
      </c>
      <c r="D128" s="145">
        <v>16</v>
      </c>
      <c r="E128" s="145">
        <v>1</v>
      </c>
      <c r="F128" s="91" t="s">
        <v>350</v>
      </c>
      <c r="G128" s="91" t="s">
        <v>351</v>
      </c>
      <c r="H128" s="91" t="s">
        <v>352</v>
      </c>
      <c r="I128" s="149">
        <v>21.23</v>
      </c>
      <c r="J128" s="149">
        <v>1.19</v>
      </c>
      <c r="K128" s="149">
        <v>1.43</v>
      </c>
      <c r="L128" s="149">
        <v>23.85</v>
      </c>
      <c r="M128" s="81"/>
      <c r="N128" s="81"/>
    </row>
    <row r="129" spans="1:14" ht="21.75">
      <c r="A129" s="145">
        <v>9</v>
      </c>
      <c r="B129" s="146" t="s">
        <v>492</v>
      </c>
      <c r="C129" s="150" t="s">
        <v>493</v>
      </c>
      <c r="D129" s="151" t="s">
        <v>494</v>
      </c>
      <c r="E129" s="145">
        <v>2</v>
      </c>
      <c r="F129" s="91" t="s">
        <v>350</v>
      </c>
      <c r="G129" s="91" t="s">
        <v>351</v>
      </c>
      <c r="H129" s="91" t="s">
        <v>352</v>
      </c>
      <c r="I129" s="149">
        <v>64.24</v>
      </c>
      <c r="J129" s="152">
        <v>3.6</v>
      </c>
      <c r="K129" s="149">
        <v>4.34</v>
      </c>
      <c r="L129" s="149">
        <v>72.18</v>
      </c>
      <c r="M129" s="81"/>
      <c r="N129" s="81"/>
    </row>
    <row r="130" spans="1:14" ht="21.75">
      <c r="A130" s="145">
        <v>10</v>
      </c>
      <c r="B130" s="146" t="s">
        <v>365</v>
      </c>
      <c r="C130" s="147" t="s">
        <v>495</v>
      </c>
      <c r="D130" s="145">
        <v>109</v>
      </c>
      <c r="E130" s="145">
        <v>1</v>
      </c>
      <c r="F130" s="91" t="s">
        <v>350</v>
      </c>
      <c r="G130" s="91" t="s">
        <v>351</v>
      </c>
      <c r="H130" s="91" t="s">
        <v>352</v>
      </c>
      <c r="I130" s="149">
        <v>77.41</v>
      </c>
      <c r="J130" s="149">
        <v>4.34</v>
      </c>
      <c r="K130" s="149">
        <v>5.23</v>
      </c>
      <c r="L130" s="149">
        <v>86.98</v>
      </c>
      <c r="M130" s="81"/>
      <c r="N130" s="81"/>
    </row>
    <row r="131" spans="1:14" ht="21.75">
      <c r="A131" s="145">
        <v>11</v>
      </c>
      <c r="B131" s="124" t="s">
        <v>389</v>
      </c>
      <c r="C131" s="129" t="s">
        <v>376</v>
      </c>
      <c r="D131" s="128">
        <v>170</v>
      </c>
      <c r="E131" s="128">
        <v>2</v>
      </c>
      <c r="F131" s="91" t="s">
        <v>350</v>
      </c>
      <c r="G131" s="91" t="s">
        <v>351</v>
      </c>
      <c r="H131" s="91" t="s">
        <v>352</v>
      </c>
      <c r="I131" s="123">
        <v>6.5</v>
      </c>
      <c r="J131" s="123">
        <v>0.36</v>
      </c>
      <c r="K131" s="123">
        <v>0.44</v>
      </c>
      <c r="L131" s="123">
        <v>7.3</v>
      </c>
      <c r="M131" s="81"/>
      <c r="N131" s="81"/>
    </row>
    <row r="132" spans="1:14" ht="21.75">
      <c r="A132" s="145">
        <v>12</v>
      </c>
      <c r="B132" s="146" t="s">
        <v>496</v>
      </c>
      <c r="C132" s="147" t="s">
        <v>497</v>
      </c>
      <c r="D132" s="145">
        <v>59</v>
      </c>
      <c r="E132" s="145">
        <v>2</v>
      </c>
      <c r="F132" s="91" t="s">
        <v>350</v>
      </c>
      <c r="G132" s="91" t="s">
        <v>351</v>
      </c>
      <c r="H132" s="91" t="s">
        <v>352</v>
      </c>
      <c r="I132" s="149">
        <v>13.08</v>
      </c>
      <c r="J132" s="149">
        <v>0.74</v>
      </c>
      <c r="K132" s="149">
        <v>0.88</v>
      </c>
      <c r="L132" s="152">
        <v>14.7</v>
      </c>
      <c r="M132" s="81"/>
      <c r="N132" s="81"/>
    </row>
    <row r="133" spans="1:14" ht="21.75">
      <c r="A133" s="145">
        <v>13</v>
      </c>
      <c r="B133" s="146" t="s">
        <v>498</v>
      </c>
      <c r="C133" s="147" t="s">
        <v>499</v>
      </c>
      <c r="D133" s="145">
        <v>207</v>
      </c>
      <c r="E133" s="145">
        <v>5</v>
      </c>
      <c r="F133" s="91" t="s">
        <v>350</v>
      </c>
      <c r="G133" s="91" t="s">
        <v>351</v>
      </c>
      <c r="H133" s="91" t="s">
        <v>352</v>
      </c>
      <c r="I133" s="149">
        <v>33.82</v>
      </c>
      <c r="J133" s="149">
        <v>1.9</v>
      </c>
      <c r="K133" s="149">
        <v>2.28</v>
      </c>
      <c r="L133" s="149">
        <v>38</v>
      </c>
      <c r="M133" s="81"/>
      <c r="N133" s="81"/>
    </row>
    <row r="134" spans="1:14" ht="21.75">
      <c r="A134" s="145">
        <v>14</v>
      </c>
      <c r="B134" s="110" t="s">
        <v>390</v>
      </c>
      <c r="C134" s="111" t="s">
        <v>364</v>
      </c>
      <c r="D134" s="113">
        <v>124</v>
      </c>
      <c r="E134" s="113">
        <v>2</v>
      </c>
      <c r="F134" s="113" t="s">
        <v>350</v>
      </c>
      <c r="G134" s="113" t="s">
        <v>351</v>
      </c>
      <c r="H134" s="113" t="s">
        <v>352</v>
      </c>
      <c r="I134" s="114">
        <v>27.8</v>
      </c>
      <c r="J134" s="116">
        <v>1.56</v>
      </c>
      <c r="K134" s="116">
        <v>1.88</v>
      </c>
      <c r="L134" s="95">
        <v>31.24</v>
      </c>
      <c r="M134" s="81"/>
      <c r="N134" s="81"/>
    </row>
    <row r="135" spans="1:14" ht="21.75">
      <c r="A135" s="145">
        <v>15</v>
      </c>
      <c r="B135" s="92" t="s">
        <v>394</v>
      </c>
      <c r="C135" s="93" t="s">
        <v>395</v>
      </c>
      <c r="D135" s="91">
        <v>83</v>
      </c>
      <c r="E135" s="91">
        <v>2</v>
      </c>
      <c r="F135" s="113" t="s">
        <v>350</v>
      </c>
      <c r="G135" s="113" t="s">
        <v>351</v>
      </c>
      <c r="H135" s="113" t="s">
        <v>352</v>
      </c>
      <c r="I135" s="96">
        <v>10.68</v>
      </c>
      <c r="J135" s="96">
        <v>0.6</v>
      </c>
      <c r="K135" s="96">
        <v>0.72</v>
      </c>
      <c r="L135" s="123">
        <v>12</v>
      </c>
      <c r="M135" s="81"/>
      <c r="N135" s="81"/>
    </row>
    <row r="136" spans="1:14" ht="21.75">
      <c r="A136" s="145">
        <v>16</v>
      </c>
      <c r="B136" s="92" t="s">
        <v>363</v>
      </c>
      <c r="C136" s="93" t="s">
        <v>364</v>
      </c>
      <c r="D136" s="91">
        <v>214</v>
      </c>
      <c r="E136" s="91">
        <v>2</v>
      </c>
      <c r="F136" s="113" t="s">
        <v>350</v>
      </c>
      <c r="G136" s="113" t="s">
        <v>351</v>
      </c>
      <c r="H136" s="113" t="s">
        <v>352</v>
      </c>
      <c r="I136" s="96">
        <v>25.57</v>
      </c>
      <c r="J136" s="96">
        <v>1.44</v>
      </c>
      <c r="K136" s="96">
        <v>1.72</v>
      </c>
      <c r="L136" s="123">
        <v>28.73</v>
      </c>
      <c r="M136" s="81"/>
      <c r="N136" s="81"/>
    </row>
    <row r="137" spans="1:14" ht="21.75">
      <c r="A137" s="145">
        <v>17</v>
      </c>
      <c r="B137" s="146" t="s">
        <v>500</v>
      </c>
      <c r="C137" s="147" t="s">
        <v>501</v>
      </c>
      <c r="D137" s="145">
        <v>40</v>
      </c>
      <c r="E137" s="145">
        <v>3</v>
      </c>
      <c r="F137" s="113" t="s">
        <v>350</v>
      </c>
      <c r="G137" s="113" t="s">
        <v>351</v>
      </c>
      <c r="H137" s="113" t="s">
        <v>352</v>
      </c>
      <c r="I137" s="149">
        <v>10.3</v>
      </c>
      <c r="J137" s="149">
        <v>0.58</v>
      </c>
      <c r="K137" s="152">
        <v>0.7</v>
      </c>
      <c r="L137" s="149">
        <v>11.58</v>
      </c>
      <c r="M137" s="81"/>
      <c r="N137" s="81"/>
    </row>
    <row r="138" spans="1:14" ht="21.75">
      <c r="A138" s="145">
        <v>18</v>
      </c>
      <c r="B138" s="146" t="s">
        <v>502</v>
      </c>
      <c r="C138" s="147" t="s">
        <v>503</v>
      </c>
      <c r="D138" s="145">
        <v>174</v>
      </c>
      <c r="E138" s="145">
        <v>4</v>
      </c>
      <c r="F138" s="113" t="s">
        <v>350</v>
      </c>
      <c r="G138" s="113" t="s">
        <v>351</v>
      </c>
      <c r="H138" s="113" t="s">
        <v>352</v>
      </c>
      <c r="I138" s="149">
        <v>10.48</v>
      </c>
      <c r="J138" s="149">
        <v>0.59</v>
      </c>
      <c r="K138" s="149">
        <v>0.71</v>
      </c>
      <c r="L138" s="149">
        <v>11.78</v>
      </c>
      <c r="M138" s="81"/>
      <c r="N138" s="81"/>
    </row>
    <row r="139" spans="1:14" ht="21.75">
      <c r="A139" s="158">
        <v>19</v>
      </c>
      <c r="B139" s="316" t="s">
        <v>504</v>
      </c>
      <c r="C139" s="317" t="s">
        <v>505</v>
      </c>
      <c r="D139" s="158">
        <v>31</v>
      </c>
      <c r="E139" s="158">
        <v>3</v>
      </c>
      <c r="F139" s="315" t="s">
        <v>350</v>
      </c>
      <c r="G139" s="315" t="s">
        <v>351</v>
      </c>
      <c r="H139" s="315" t="s">
        <v>352</v>
      </c>
      <c r="I139" s="318">
        <v>34.27</v>
      </c>
      <c r="J139" s="318">
        <v>1.93</v>
      </c>
      <c r="K139" s="319">
        <v>2.3</v>
      </c>
      <c r="L139" s="319">
        <v>38.5</v>
      </c>
      <c r="M139" s="81"/>
      <c r="N139" s="81"/>
    </row>
    <row r="140" spans="1:14" ht="21.75">
      <c r="A140" s="140">
        <v>20</v>
      </c>
      <c r="B140" s="326" t="s">
        <v>412</v>
      </c>
      <c r="C140" s="327" t="s">
        <v>413</v>
      </c>
      <c r="D140" s="82">
        <v>64</v>
      </c>
      <c r="E140" s="82">
        <v>3</v>
      </c>
      <c r="F140" s="86" t="s">
        <v>350</v>
      </c>
      <c r="G140" s="86" t="s">
        <v>351</v>
      </c>
      <c r="H140" s="86" t="s">
        <v>352</v>
      </c>
      <c r="I140" s="328">
        <v>33.82</v>
      </c>
      <c r="J140" s="328">
        <v>1.9</v>
      </c>
      <c r="K140" s="328">
        <v>2.28</v>
      </c>
      <c r="L140" s="328">
        <v>38</v>
      </c>
      <c r="M140" s="81"/>
      <c r="N140" s="81"/>
    </row>
    <row r="141" spans="1:14" ht="21.75">
      <c r="A141" s="145">
        <v>21</v>
      </c>
      <c r="B141" s="92" t="s">
        <v>414</v>
      </c>
      <c r="C141" s="93" t="s">
        <v>415</v>
      </c>
      <c r="D141" s="91">
        <v>64</v>
      </c>
      <c r="E141" s="91">
        <v>3</v>
      </c>
      <c r="F141" s="91" t="s">
        <v>350</v>
      </c>
      <c r="G141" s="91" t="s">
        <v>351</v>
      </c>
      <c r="H141" s="91" t="s">
        <v>352</v>
      </c>
      <c r="I141" s="95">
        <v>12.84</v>
      </c>
      <c r="J141" s="109">
        <v>0.72</v>
      </c>
      <c r="K141" s="95">
        <v>0.87</v>
      </c>
      <c r="L141" s="109">
        <v>14.43</v>
      </c>
      <c r="M141" s="81"/>
      <c r="N141" s="81"/>
    </row>
    <row r="142" spans="1:14" ht="21.75">
      <c r="A142" s="145">
        <v>22</v>
      </c>
      <c r="B142" s="124" t="s">
        <v>416</v>
      </c>
      <c r="C142" s="125" t="s">
        <v>372</v>
      </c>
      <c r="D142" s="128" t="s">
        <v>417</v>
      </c>
      <c r="E142" s="128">
        <v>4</v>
      </c>
      <c r="F142" s="91" t="s">
        <v>350</v>
      </c>
      <c r="G142" s="91" t="s">
        <v>351</v>
      </c>
      <c r="H142" s="91" t="s">
        <v>352</v>
      </c>
      <c r="I142" s="123">
        <v>43.26</v>
      </c>
      <c r="J142" s="123">
        <v>2.43</v>
      </c>
      <c r="K142" s="123">
        <v>2.92</v>
      </c>
      <c r="L142" s="123">
        <v>48.61</v>
      </c>
      <c r="M142" s="81"/>
      <c r="N142" s="81"/>
    </row>
    <row r="143" spans="1:14" ht="21.75">
      <c r="A143" s="145">
        <v>23</v>
      </c>
      <c r="B143" s="124" t="s">
        <v>357</v>
      </c>
      <c r="C143" s="125" t="s">
        <v>401</v>
      </c>
      <c r="D143" s="128"/>
      <c r="E143" s="128"/>
      <c r="F143" s="91" t="s">
        <v>350</v>
      </c>
      <c r="G143" s="91" t="s">
        <v>351</v>
      </c>
      <c r="H143" s="91" t="s">
        <v>352</v>
      </c>
      <c r="I143" s="131">
        <v>16.81</v>
      </c>
      <c r="J143" s="123">
        <v>0.95</v>
      </c>
      <c r="K143" s="123">
        <v>1.13</v>
      </c>
      <c r="L143" s="123">
        <v>18.89</v>
      </c>
      <c r="M143" s="81"/>
      <c r="N143" s="81"/>
    </row>
    <row r="144" spans="1:14" ht="21.75">
      <c r="A144" s="145">
        <v>24</v>
      </c>
      <c r="B144" s="124" t="s">
        <v>418</v>
      </c>
      <c r="C144" s="125" t="s">
        <v>419</v>
      </c>
      <c r="D144" s="128">
        <v>114</v>
      </c>
      <c r="E144" s="128">
        <v>4</v>
      </c>
      <c r="F144" s="91" t="s">
        <v>350</v>
      </c>
      <c r="G144" s="91" t="s">
        <v>351</v>
      </c>
      <c r="H144" s="91" t="s">
        <v>352</v>
      </c>
      <c r="I144" s="123">
        <v>1.78</v>
      </c>
      <c r="J144" s="123">
        <v>0.1</v>
      </c>
      <c r="K144" s="123">
        <v>0.12</v>
      </c>
      <c r="L144" s="123">
        <v>2</v>
      </c>
      <c r="M144" s="81"/>
      <c r="N144" s="81"/>
    </row>
    <row r="145" spans="1:14" ht="21.75">
      <c r="A145" s="145">
        <v>25</v>
      </c>
      <c r="B145" s="146" t="s">
        <v>506</v>
      </c>
      <c r="C145" s="147" t="s">
        <v>478</v>
      </c>
      <c r="D145" s="145">
        <v>123</v>
      </c>
      <c r="E145" s="145">
        <v>12</v>
      </c>
      <c r="F145" s="91" t="s">
        <v>350</v>
      </c>
      <c r="G145" s="91" t="s">
        <v>351</v>
      </c>
      <c r="H145" s="91" t="s">
        <v>352</v>
      </c>
      <c r="I145" s="149">
        <v>18.25</v>
      </c>
      <c r="J145" s="149">
        <v>1.03</v>
      </c>
      <c r="K145" s="149">
        <v>1.23</v>
      </c>
      <c r="L145" s="149">
        <v>20.51</v>
      </c>
      <c r="M145" s="81"/>
      <c r="N145" s="81"/>
    </row>
    <row r="146" spans="1:14" ht="21.75">
      <c r="A146" s="145">
        <v>26</v>
      </c>
      <c r="B146" s="146" t="s">
        <v>507</v>
      </c>
      <c r="C146" s="147" t="s">
        <v>508</v>
      </c>
      <c r="D146" s="145">
        <v>124</v>
      </c>
      <c r="E146" s="145">
        <v>4</v>
      </c>
      <c r="F146" s="91" t="s">
        <v>350</v>
      </c>
      <c r="G146" s="91" t="s">
        <v>351</v>
      </c>
      <c r="H146" s="91" t="s">
        <v>352</v>
      </c>
      <c r="I146" s="149">
        <v>14.24</v>
      </c>
      <c r="J146" s="152">
        <v>0.8</v>
      </c>
      <c r="K146" s="149">
        <v>0.96</v>
      </c>
      <c r="L146" s="149">
        <v>16</v>
      </c>
      <c r="M146" s="153"/>
      <c r="N146" s="122"/>
    </row>
    <row r="147" spans="1:14" ht="21.75">
      <c r="A147" s="145">
        <v>27</v>
      </c>
      <c r="B147" s="124" t="s">
        <v>420</v>
      </c>
      <c r="C147" s="125" t="s">
        <v>421</v>
      </c>
      <c r="D147" s="128">
        <v>102</v>
      </c>
      <c r="E147" s="128">
        <v>4</v>
      </c>
      <c r="F147" s="91" t="s">
        <v>350</v>
      </c>
      <c r="G147" s="91" t="s">
        <v>351</v>
      </c>
      <c r="H147" s="91" t="s">
        <v>352</v>
      </c>
      <c r="I147" s="123">
        <v>5.56</v>
      </c>
      <c r="J147" s="123">
        <v>0.31</v>
      </c>
      <c r="K147" s="123">
        <v>0.38</v>
      </c>
      <c r="L147" s="123">
        <v>6.25</v>
      </c>
      <c r="M147" s="153"/>
      <c r="N147" s="122"/>
    </row>
    <row r="148" spans="1:14" ht="21.75">
      <c r="A148" s="154">
        <v>28</v>
      </c>
      <c r="B148" s="155" t="s">
        <v>509</v>
      </c>
      <c r="C148" s="156" t="s">
        <v>380</v>
      </c>
      <c r="D148" s="154">
        <v>149</v>
      </c>
      <c r="E148" s="154">
        <v>4</v>
      </c>
      <c r="F148" s="128" t="s">
        <v>350</v>
      </c>
      <c r="G148" s="128" t="s">
        <v>351</v>
      </c>
      <c r="H148" s="128" t="s">
        <v>352</v>
      </c>
      <c r="I148" s="157">
        <v>24.55</v>
      </c>
      <c r="J148" s="157">
        <v>1.38</v>
      </c>
      <c r="K148" s="157">
        <v>1.65</v>
      </c>
      <c r="L148" s="157">
        <v>27.58</v>
      </c>
      <c r="M148" s="153"/>
      <c r="N148" s="122"/>
    </row>
    <row r="149" spans="1:14" ht="21.75">
      <c r="A149" s="158">
        <v>29</v>
      </c>
      <c r="B149" s="92" t="s">
        <v>373</v>
      </c>
      <c r="C149" s="93" t="s">
        <v>374</v>
      </c>
      <c r="D149" s="91">
        <v>6</v>
      </c>
      <c r="E149" s="91">
        <v>11</v>
      </c>
      <c r="F149" s="91" t="s">
        <v>350</v>
      </c>
      <c r="G149" s="91" t="s">
        <v>351</v>
      </c>
      <c r="H149" s="91" t="s">
        <v>352</v>
      </c>
      <c r="I149" s="96">
        <v>40.57</v>
      </c>
      <c r="J149" s="96">
        <v>2.28</v>
      </c>
      <c r="K149" s="96">
        <v>2.73</v>
      </c>
      <c r="L149" s="96">
        <v>45.58</v>
      </c>
      <c r="M149" s="153"/>
      <c r="N149" s="122"/>
    </row>
    <row r="150" spans="1:14" ht="21.75">
      <c r="A150" s="598" t="s">
        <v>53</v>
      </c>
      <c r="B150" s="598"/>
      <c r="C150" s="598"/>
      <c r="D150" s="598"/>
      <c r="E150" s="598"/>
      <c r="F150" s="598"/>
      <c r="G150" s="598"/>
      <c r="H150" s="598"/>
      <c r="I150" s="97">
        <f>SUM(I121:I149)</f>
        <v>749.01</v>
      </c>
      <c r="J150" s="97">
        <f>SUM(J121:J149)</f>
        <v>42.07</v>
      </c>
      <c r="K150" s="97">
        <f>SUM(K121:K149)</f>
        <v>50.519999999999996</v>
      </c>
      <c r="L150" s="97">
        <f>SUM(L121:L149)</f>
        <v>841.6000000000001</v>
      </c>
      <c r="M150" s="81"/>
      <c r="N150" s="81"/>
    </row>
    <row r="151" spans="1:14" ht="23.25">
      <c r="A151" s="588" t="s">
        <v>360</v>
      </c>
      <c r="B151" s="588"/>
      <c r="C151" s="588"/>
      <c r="D151" s="588"/>
      <c r="E151" s="588"/>
      <c r="F151" s="588"/>
      <c r="G151" s="588"/>
      <c r="H151" s="588"/>
      <c r="I151" s="588"/>
      <c r="J151" s="588"/>
      <c r="K151" s="588"/>
      <c r="L151" s="588"/>
      <c r="M151" s="81"/>
      <c r="N151" s="81"/>
    </row>
    <row r="152" spans="1:14" ht="23.25">
      <c r="A152" s="588" t="s">
        <v>482</v>
      </c>
      <c r="B152" s="588"/>
      <c r="C152" s="588"/>
      <c r="D152" s="588"/>
      <c r="E152" s="588"/>
      <c r="F152" s="588"/>
      <c r="G152" s="588"/>
      <c r="H152" s="588"/>
      <c r="I152" s="588"/>
      <c r="J152" s="588"/>
      <c r="K152" s="588"/>
      <c r="L152" s="588"/>
      <c r="M152" s="81"/>
      <c r="N152" s="81"/>
    </row>
    <row r="153" spans="1:14" ht="23.25">
      <c r="A153" s="599" t="s">
        <v>362</v>
      </c>
      <c r="B153" s="599"/>
      <c r="C153" s="599"/>
      <c r="D153" s="599"/>
      <c r="E153" s="599"/>
      <c r="F153" s="599"/>
      <c r="G153" s="599"/>
      <c r="H153" s="599"/>
      <c r="I153" s="599"/>
      <c r="J153" s="599"/>
      <c r="K153" s="599"/>
      <c r="L153" s="599"/>
      <c r="M153" s="81"/>
      <c r="N153" s="81"/>
    </row>
    <row r="154" spans="1:14" ht="21.75">
      <c r="A154" s="100" t="s">
        <v>337</v>
      </c>
      <c r="B154" s="592" t="s">
        <v>338</v>
      </c>
      <c r="C154" s="594" t="s">
        <v>339</v>
      </c>
      <c r="D154" s="596" t="s">
        <v>340</v>
      </c>
      <c r="E154" s="596" t="s">
        <v>341</v>
      </c>
      <c r="F154" s="596" t="s">
        <v>342</v>
      </c>
      <c r="G154" s="596" t="s">
        <v>343</v>
      </c>
      <c r="H154" s="596" t="s">
        <v>344</v>
      </c>
      <c r="I154" s="82" t="s">
        <v>345</v>
      </c>
      <c r="J154" s="83">
        <v>0.05</v>
      </c>
      <c r="K154" s="83">
        <v>0.06</v>
      </c>
      <c r="L154" s="82" t="s">
        <v>278</v>
      </c>
      <c r="M154" s="81"/>
      <c r="N154" s="81"/>
    </row>
    <row r="155" spans="1:14" ht="21.75">
      <c r="A155" s="101" t="s">
        <v>346</v>
      </c>
      <c r="B155" s="593"/>
      <c r="C155" s="595"/>
      <c r="D155" s="597"/>
      <c r="E155" s="597"/>
      <c r="F155" s="597"/>
      <c r="G155" s="597"/>
      <c r="H155" s="597"/>
      <c r="I155" s="85">
        <v>0.89</v>
      </c>
      <c r="J155" s="85"/>
      <c r="K155" s="85"/>
      <c r="L155" s="84" t="s">
        <v>347</v>
      </c>
      <c r="M155" s="81"/>
      <c r="N155" s="81"/>
    </row>
    <row r="156" spans="1:14" ht="21.75">
      <c r="A156" s="159">
        <v>30</v>
      </c>
      <c r="B156" s="160" t="s">
        <v>510</v>
      </c>
      <c r="C156" s="161" t="s">
        <v>511</v>
      </c>
      <c r="D156" s="162">
        <v>118</v>
      </c>
      <c r="E156" s="162">
        <v>4</v>
      </c>
      <c r="F156" s="113" t="s">
        <v>350</v>
      </c>
      <c r="G156" s="113" t="s">
        <v>351</v>
      </c>
      <c r="H156" s="113" t="s">
        <v>352</v>
      </c>
      <c r="I156" s="163">
        <v>14.46</v>
      </c>
      <c r="J156" s="163">
        <v>0.81</v>
      </c>
      <c r="K156" s="163">
        <v>0.98</v>
      </c>
      <c r="L156" s="164">
        <v>16.25</v>
      </c>
      <c r="M156" s="81"/>
      <c r="N156" s="81"/>
    </row>
    <row r="157" spans="1:14" ht="21.75">
      <c r="A157" s="165">
        <v>31</v>
      </c>
      <c r="B157" s="166" t="s">
        <v>422</v>
      </c>
      <c r="C157" s="167" t="s">
        <v>423</v>
      </c>
      <c r="D157" s="168">
        <v>199</v>
      </c>
      <c r="E157" s="168">
        <v>4</v>
      </c>
      <c r="F157" s="113" t="s">
        <v>350</v>
      </c>
      <c r="G157" s="113" t="s">
        <v>351</v>
      </c>
      <c r="H157" s="113" t="s">
        <v>352</v>
      </c>
      <c r="I157" s="96">
        <v>15.58</v>
      </c>
      <c r="J157" s="96">
        <v>0.88</v>
      </c>
      <c r="K157" s="96">
        <v>1.04</v>
      </c>
      <c r="L157" s="96">
        <v>17.5</v>
      </c>
      <c r="M157" s="81"/>
      <c r="N157" s="81"/>
    </row>
    <row r="158" spans="1:14" ht="21.75">
      <c r="A158" s="165">
        <v>32</v>
      </c>
      <c r="B158" s="166" t="s">
        <v>512</v>
      </c>
      <c r="C158" s="167" t="s">
        <v>513</v>
      </c>
      <c r="D158" s="168">
        <v>168</v>
      </c>
      <c r="E158" s="168">
        <v>5</v>
      </c>
      <c r="F158" s="113" t="s">
        <v>350</v>
      </c>
      <c r="G158" s="113" t="s">
        <v>351</v>
      </c>
      <c r="H158" s="113" t="s">
        <v>352</v>
      </c>
      <c r="I158" s="96">
        <v>9.24</v>
      </c>
      <c r="J158" s="96">
        <v>0.52</v>
      </c>
      <c r="K158" s="96">
        <v>0.62</v>
      </c>
      <c r="L158" s="169">
        <v>10.38</v>
      </c>
      <c r="M158" s="81"/>
      <c r="N158" s="81"/>
    </row>
    <row r="159" spans="1:14" ht="21.75">
      <c r="A159" s="165">
        <v>33</v>
      </c>
      <c r="B159" s="166" t="s">
        <v>514</v>
      </c>
      <c r="C159" s="167" t="s">
        <v>515</v>
      </c>
      <c r="D159" s="168">
        <v>160</v>
      </c>
      <c r="E159" s="168">
        <v>5</v>
      </c>
      <c r="F159" s="91" t="s">
        <v>350</v>
      </c>
      <c r="G159" s="91" t="s">
        <v>351</v>
      </c>
      <c r="H159" s="91" t="s">
        <v>352</v>
      </c>
      <c r="I159" s="96">
        <v>9.92</v>
      </c>
      <c r="J159" s="96">
        <v>0.56</v>
      </c>
      <c r="K159" s="96">
        <v>0.67</v>
      </c>
      <c r="L159" s="169">
        <v>11.15</v>
      </c>
      <c r="M159" s="81"/>
      <c r="N159" s="81"/>
    </row>
    <row r="160" spans="1:14" ht="21.75">
      <c r="A160" s="165">
        <v>34</v>
      </c>
      <c r="B160" s="124" t="s">
        <v>434</v>
      </c>
      <c r="C160" s="129" t="s">
        <v>364</v>
      </c>
      <c r="D160" s="128">
        <v>234</v>
      </c>
      <c r="E160" s="128">
        <v>5</v>
      </c>
      <c r="F160" s="113" t="s">
        <v>350</v>
      </c>
      <c r="G160" s="113" t="s">
        <v>351</v>
      </c>
      <c r="H160" s="113" t="s">
        <v>352</v>
      </c>
      <c r="I160" s="123">
        <v>123.6</v>
      </c>
      <c r="J160" s="123">
        <v>6.94</v>
      </c>
      <c r="K160" s="123">
        <v>8.33</v>
      </c>
      <c r="L160" s="123">
        <v>138.87</v>
      </c>
      <c r="M160" s="81"/>
      <c r="N160" s="81"/>
    </row>
    <row r="161" spans="1:14" ht="21.75">
      <c r="A161" s="165">
        <v>35</v>
      </c>
      <c r="B161" s="92" t="s">
        <v>435</v>
      </c>
      <c r="C161" s="93" t="s">
        <v>380</v>
      </c>
      <c r="D161" s="91">
        <v>199</v>
      </c>
      <c r="E161" s="91">
        <v>6</v>
      </c>
      <c r="F161" s="113" t="s">
        <v>350</v>
      </c>
      <c r="G161" s="113" t="s">
        <v>351</v>
      </c>
      <c r="H161" s="113" t="s">
        <v>352</v>
      </c>
      <c r="I161" s="96">
        <v>26.34</v>
      </c>
      <c r="J161" s="96">
        <v>1.48</v>
      </c>
      <c r="K161" s="96">
        <v>1.78</v>
      </c>
      <c r="L161" s="123">
        <v>29.6</v>
      </c>
      <c r="M161" s="81"/>
      <c r="N161" s="81"/>
    </row>
    <row r="162" spans="1:14" ht="21.75">
      <c r="A162" s="165">
        <v>36</v>
      </c>
      <c r="B162" s="92" t="s">
        <v>436</v>
      </c>
      <c r="C162" s="93" t="s">
        <v>354</v>
      </c>
      <c r="D162" s="91">
        <v>271</v>
      </c>
      <c r="E162" s="91">
        <v>5</v>
      </c>
      <c r="F162" s="113" t="s">
        <v>350</v>
      </c>
      <c r="G162" s="113" t="s">
        <v>351</v>
      </c>
      <c r="H162" s="113" t="s">
        <v>352</v>
      </c>
      <c r="I162" s="96">
        <v>24.32</v>
      </c>
      <c r="J162" s="96">
        <v>1.36</v>
      </c>
      <c r="K162" s="96">
        <v>1.64</v>
      </c>
      <c r="L162" s="123">
        <v>27.32</v>
      </c>
      <c r="M162" s="81"/>
      <c r="N162" s="81"/>
    </row>
    <row r="163" spans="1:14" ht="21.75">
      <c r="A163" s="165">
        <v>37</v>
      </c>
      <c r="B163" s="92" t="s">
        <v>437</v>
      </c>
      <c r="C163" s="93" t="s">
        <v>438</v>
      </c>
      <c r="D163" s="91">
        <v>127</v>
      </c>
      <c r="E163" s="91">
        <v>5</v>
      </c>
      <c r="F163" s="91" t="s">
        <v>350</v>
      </c>
      <c r="G163" s="91" t="s">
        <v>351</v>
      </c>
      <c r="H163" s="91" t="s">
        <v>352</v>
      </c>
      <c r="I163" s="95">
        <v>50.67</v>
      </c>
      <c r="J163" s="96">
        <v>2.85</v>
      </c>
      <c r="K163" s="96">
        <v>3.41</v>
      </c>
      <c r="L163" s="123">
        <v>56.93</v>
      </c>
      <c r="M163" s="81"/>
      <c r="N163" s="81"/>
    </row>
    <row r="164" spans="1:14" ht="21.75">
      <c r="A164" s="165">
        <v>38</v>
      </c>
      <c r="B164" s="166" t="s">
        <v>516</v>
      </c>
      <c r="C164" s="167" t="s">
        <v>517</v>
      </c>
      <c r="D164" s="168">
        <v>469</v>
      </c>
      <c r="E164" s="168">
        <v>5</v>
      </c>
      <c r="F164" s="91" t="s">
        <v>350</v>
      </c>
      <c r="G164" s="91" t="s">
        <v>351</v>
      </c>
      <c r="H164" s="91" t="s">
        <v>352</v>
      </c>
      <c r="I164" s="96">
        <v>14.61</v>
      </c>
      <c r="J164" s="96">
        <v>0.82</v>
      </c>
      <c r="K164" s="96">
        <v>0.99</v>
      </c>
      <c r="L164" s="169">
        <v>16.42</v>
      </c>
      <c r="M164" s="81"/>
      <c r="N164" s="81"/>
    </row>
    <row r="165" spans="1:14" ht="21.75">
      <c r="A165" s="165">
        <v>39</v>
      </c>
      <c r="B165" s="124" t="s">
        <v>439</v>
      </c>
      <c r="C165" s="125" t="s">
        <v>440</v>
      </c>
      <c r="D165" s="128" t="s">
        <v>441</v>
      </c>
      <c r="E165" s="128">
        <v>5</v>
      </c>
      <c r="F165" s="91" t="s">
        <v>350</v>
      </c>
      <c r="G165" s="91" t="s">
        <v>351</v>
      </c>
      <c r="H165" s="91" t="s">
        <v>352</v>
      </c>
      <c r="I165" s="123">
        <v>40.94</v>
      </c>
      <c r="J165" s="123">
        <v>2.3</v>
      </c>
      <c r="K165" s="123">
        <v>2.76</v>
      </c>
      <c r="L165" s="123">
        <v>46</v>
      </c>
      <c r="M165" s="81"/>
      <c r="N165" s="81"/>
    </row>
    <row r="166" spans="1:14" ht="21.75">
      <c r="A166" s="165">
        <v>40</v>
      </c>
      <c r="B166" s="166" t="s">
        <v>518</v>
      </c>
      <c r="C166" s="167" t="s">
        <v>519</v>
      </c>
      <c r="D166" s="168" t="s">
        <v>520</v>
      </c>
      <c r="E166" s="168">
        <v>6</v>
      </c>
      <c r="F166" s="91" t="s">
        <v>350</v>
      </c>
      <c r="G166" s="91" t="s">
        <v>351</v>
      </c>
      <c r="H166" s="91" t="s">
        <v>352</v>
      </c>
      <c r="I166" s="96">
        <v>0.89</v>
      </c>
      <c r="J166" s="96">
        <v>0.05</v>
      </c>
      <c r="K166" s="96">
        <v>0.06</v>
      </c>
      <c r="L166" s="169">
        <v>1</v>
      </c>
      <c r="M166" s="81"/>
      <c r="N166" s="81"/>
    </row>
    <row r="167" spans="1:14" ht="21.75">
      <c r="A167" s="165">
        <v>41</v>
      </c>
      <c r="B167" s="166" t="s">
        <v>521</v>
      </c>
      <c r="C167" s="167" t="s">
        <v>517</v>
      </c>
      <c r="D167" s="168">
        <v>17</v>
      </c>
      <c r="E167" s="168">
        <v>7</v>
      </c>
      <c r="F167" s="91" t="s">
        <v>350</v>
      </c>
      <c r="G167" s="91" t="s">
        <v>351</v>
      </c>
      <c r="H167" s="91" t="s">
        <v>352</v>
      </c>
      <c r="I167" s="96">
        <v>6.71</v>
      </c>
      <c r="J167" s="96">
        <v>0.38</v>
      </c>
      <c r="K167" s="96">
        <v>0.45</v>
      </c>
      <c r="L167" s="169">
        <v>7.54</v>
      </c>
      <c r="M167" s="81"/>
      <c r="N167" s="81"/>
    </row>
    <row r="168" spans="1:14" ht="21.75">
      <c r="A168" s="165">
        <v>42</v>
      </c>
      <c r="B168" s="166" t="s">
        <v>522</v>
      </c>
      <c r="C168" s="167" t="s">
        <v>523</v>
      </c>
      <c r="D168" s="168">
        <v>86</v>
      </c>
      <c r="E168" s="168">
        <v>8</v>
      </c>
      <c r="F168" s="91" t="s">
        <v>350</v>
      </c>
      <c r="G168" s="91" t="s">
        <v>351</v>
      </c>
      <c r="H168" s="91" t="s">
        <v>352</v>
      </c>
      <c r="I168" s="96">
        <v>8.5</v>
      </c>
      <c r="J168" s="96">
        <v>0.48</v>
      </c>
      <c r="K168" s="96">
        <v>0.57</v>
      </c>
      <c r="L168" s="169">
        <v>9.55</v>
      </c>
      <c r="M168" s="81"/>
      <c r="N168" s="81"/>
    </row>
    <row r="169" spans="1:14" ht="21.75">
      <c r="A169" s="165">
        <v>43</v>
      </c>
      <c r="B169" s="166" t="s">
        <v>524</v>
      </c>
      <c r="C169" s="167" t="s">
        <v>525</v>
      </c>
      <c r="D169" s="168">
        <v>50</v>
      </c>
      <c r="E169" s="168">
        <v>8</v>
      </c>
      <c r="F169" s="91" t="s">
        <v>350</v>
      </c>
      <c r="G169" s="91" t="s">
        <v>351</v>
      </c>
      <c r="H169" s="91" t="s">
        <v>352</v>
      </c>
      <c r="I169" s="96">
        <v>13.35</v>
      </c>
      <c r="J169" s="96">
        <v>0.75</v>
      </c>
      <c r="K169" s="96">
        <v>0.9</v>
      </c>
      <c r="L169" s="169">
        <v>15</v>
      </c>
      <c r="M169" s="81"/>
      <c r="N169" s="81"/>
    </row>
    <row r="170" spans="1:14" ht="21.75">
      <c r="A170" s="165">
        <v>44</v>
      </c>
      <c r="B170" s="166" t="s">
        <v>355</v>
      </c>
      <c r="C170" s="167" t="s">
        <v>356</v>
      </c>
      <c r="D170" s="168">
        <v>34</v>
      </c>
      <c r="E170" s="168">
        <v>8</v>
      </c>
      <c r="F170" s="91" t="s">
        <v>350</v>
      </c>
      <c r="G170" s="91" t="s">
        <v>351</v>
      </c>
      <c r="H170" s="91" t="s">
        <v>352</v>
      </c>
      <c r="I170" s="96">
        <v>24.56</v>
      </c>
      <c r="J170" s="96">
        <v>1.38</v>
      </c>
      <c r="K170" s="96">
        <v>1.66</v>
      </c>
      <c r="L170" s="96">
        <v>27.6</v>
      </c>
      <c r="M170" s="81"/>
      <c r="N170" s="81"/>
    </row>
    <row r="171" spans="1:14" ht="21.75">
      <c r="A171" s="165">
        <v>45</v>
      </c>
      <c r="B171" s="166" t="s">
        <v>526</v>
      </c>
      <c r="C171" s="167" t="s">
        <v>527</v>
      </c>
      <c r="D171" s="168">
        <v>164</v>
      </c>
      <c r="E171" s="168">
        <v>9</v>
      </c>
      <c r="F171" s="91" t="s">
        <v>350</v>
      </c>
      <c r="G171" s="91" t="s">
        <v>351</v>
      </c>
      <c r="H171" s="91" t="s">
        <v>352</v>
      </c>
      <c r="I171" s="96">
        <v>10.77</v>
      </c>
      <c r="J171" s="96">
        <v>0.61</v>
      </c>
      <c r="K171" s="96">
        <v>0.72</v>
      </c>
      <c r="L171" s="96">
        <v>12.1</v>
      </c>
      <c r="M171" s="81"/>
      <c r="N171" s="81"/>
    </row>
    <row r="172" spans="1:14" ht="21.75">
      <c r="A172" s="165">
        <v>46</v>
      </c>
      <c r="B172" s="166" t="s">
        <v>528</v>
      </c>
      <c r="C172" s="167" t="s">
        <v>529</v>
      </c>
      <c r="D172" s="168">
        <v>165</v>
      </c>
      <c r="E172" s="168">
        <v>10</v>
      </c>
      <c r="F172" s="91" t="s">
        <v>350</v>
      </c>
      <c r="G172" s="91" t="s">
        <v>351</v>
      </c>
      <c r="H172" s="91" t="s">
        <v>352</v>
      </c>
      <c r="I172" s="96">
        <v>58.6</v>
      </c>
      <c r="J172" s="96">
        <v>3.29</v>
      </c>
      <c r="K172" s="96">
        <v>3.95</v>
      </c>
      <c r="L172" s="169">
        <v>65.84</v>
      </c>
      <c r="M172" s="81"/>
      <c r="N172" s="81"/>
    </row>
    <row r="173" spans="1:14" ht="21.75">
      <c r="A173" s="165">
        <v>47</v>
      </c>
      <c r="B173" s="92" t="s">
        <v>458</v>
      </c>
      <c r="C173" s="93" t="s">
        <v>459</v>
      </c>
      <c r="D173" s="91">
        <v>86</v>
      </c>
      <c r="E173" s="91">
        <v>10</v>
      </c>
      <c r="F173" s="113" t="s">
        <v>350</v>
      </c>
      <c r="G173" s="113" t="s">
        <v>351</v>
      </c>
      <c r="H173" s="113" t="s">
        <v>352</v>
      </c>
      <c r="I173" s="96">
        <v>4.15</v>
      </c>
      <c r="J173" s="96">
        <v>0.23</v>
      </c>
      <c r="K173" s="96">
        <v>0.28</v>
      </c>
      <c r="L173" s="123">
        <v>4.66</v>
      </c>
      <c r="M173" s="81"/>
      <c r="N173" s="81"/>
    </row>
    <row r="174" spans="1:14" ht="21.75">
      <c r="A174" s="320">
        <v>48</v>
      </c>
      <c r="B174" s="321" t="s">
        <v>530</v>
      </c>
      <c r="C174" s="322" t="s">
        <v>531</v>
      </c>
      <c r="D174" s="323">
        <v>150</v>
      </c>
      <c r="E174" s="323">
        <v>10</v>
      </c>
      <c r="F174" s="315" t="s">
        <v>350</v>
      </c>
      <c r="G174" s="315" t="s">
        <v>351</v>
      </c>
      <c r="H174" s="315" t="s">
        <v>352</v>
      </c>
      <c r="I174" s="314">
        <v>57.59</v>
      </c>
      <c r="J174" s="314">
        <v>3.24</v>
      </c>
      <c r="K174" s="314">
        <v>3.88</v>
      </c>
      <c r="L174" s="324">
        <v>64.71</v>
      </c>
      <c r="M174" s="81"/>
      <c r="N174" s="81"/>
    </row>
    <row r="175" spans="1:14" ht="21.75">
      <c r="A175" s="159">
        <v>49</v>
      </c>
      <c r="B175" s="160" t="s">
        <v>532</v>
      </c>
      <c r="C175" s="161" t="s">
        <v>533</v>
      </c>
      <c r="D175" s="162">
        <v>128</v>
      </c>
      <c r="E175" s="162">
        <v>11</v>
      </c>
      <c r="F175" s="325" t="s">
        <v>350</v>
      </c>
      <c r="G175" s="325" t="s">
        <v>351</v>
      </c>
      <c r="H175" s="325" t="s">
        <v>352</v>
      </c>
      <c r="I175" s="163">
        <v>5.74</v>
      </c>
      <c r="J175" s="163">
        <v>0.32</v>
      </c>
      <c r="K175" s="163">
        <v>0.39</v>
      </c>
      <c r="L175" s="164">
        <v>6.45</v>
      </c>
      <c r="M175" s="81"/>
      <c r="N175" s="81"/>
    </row>
    <row r="176" spans="1:14" ht="21.75">
      <c r="A176" s="165">
        <v>50</v>
      </c>
      <c r="B176" s="166" t="s">
        <v>534</v>
      </c>
      <c r="C176" s="167" t="s">
        <v>535</v>
      </c>
      <c r="D176" s="170"/>
      <c r="E176" s="168">
        <v>11</v>
      </c>
      <c r="F176" s="113" t="s">
        <v>350</v>
      </c>
      <c r="G176" s="113" t="s">
        <v>351</v>
      </c>
      <c r="H176" s="113" t="s">
        <v>352</v>
      </c>
      <c r="I176" s="96">
        <v>17.08</v>
      </c>
      <c r="J176" s="96">
        <v>0.96</v>
      </c>
      <c r="K176" s="96">
        <v>1.15</v>
      </c>
      <c r="L176" s="169">
        <v>19.19</v>
      </c>
      <c r="M176" s="81"/>
      <c r="N176" s="81"/>
    </row>
    <row r="177" spans="1:14" ht="21.75">
      <c r="A177" s="165">
        <v>51</v>
      </c>
      <c r="B177" s="171" t="s">
        <v>536</v>
      </c>
      <c r="C177" s="172" t="s">
        <v>537</v>
      </c>
      <c r="D177" s="145">
        <v>31</v>
      </c>
      <c r="E177" s="145">
        <v>11</v>
      </c>
      <c r="F177" s="113" t="s">
        <v>350</v>
      </c>
      <c r="G177" s="113" t="s">
        <v>351</v>
      </c>
      <c r="H177" s="113" t="s">
        <v>352</v>
      </c>
      <c r="I177" s="152">
        <v>25.59</v>
      </c>
      <c r="J177" s="152">
        <v>1.44</v>
      </c>
      <c r="K177" s="152">
        <v>1.72</v>
      </c>
      <c r="L177" s="149">
        <v>28.75</v>
      </c>
      <c r="M177" s="81"/>
      <c r="N177" s="81"/>
    </row>
    <row r="178" spans="1:14" ht="21.75">
      <c r="A178" s="165">
        <v>52</v>
      </c>
      <c r="B178" s="171" t="s">
        <v>538</v>
      </c>
      <c r="C178" s="172" t="s">
        <v>539</v>
      </c>
      <c r="D178" s="145">
        <v>122</v>
      </c>
      <c r="E178" s="145">
        <v>2</v>
      </c>
      <c r="F178" s="113" t="s">
        <v>350</v>
      </c>
      <c r="G178" s="113" t="s">
        <v>351</v>
      </c>
      <c r="H178" s="113" t="s">
        <v>352</v>
      </c>
      <c r="I178" s="152">
        <v>5.52</v>
      </c>
      <c r="J178" s="152">
        <v>0.31</v>
      </c>
      <c r="K178" s="152">
        <v>0.37</v>
      </c>
      <c r="L178" s="149">
        <v>6.2</v>
      </c>
      <c r="M178" s="81"/>
      <c r="N178" s="81"/>
    </row>
    <row r="179" spans="1:14" ht="21.75">
      <c r="A179" s="165">
        <v>53</v>
      </c>
      <c r="B179" s="171" t="s">
        <v>540</v>
      </c>
      <c r="C179" s="172" t="s">
        <v>505</v>
      </c>
      <c r="D179" s="145">
        <v>54</v>
      </c>
      <c r="E179" s="145">
        <v>11</v>
      </c>
      <c r="F179" s="113" t="s">
        <v>350</v>
      </c>
      <c r="G179" s="113" t="s">
        <v>351</v>
      </c>
      <c r="H179" s="113" t="s">
        <v>352</v>
      </c>
      <c r="I179" s="152">
        <v>6.23</v>
      </c>
      <c r="J179" s="152">
        <v>0.35</v>
      </c>
      <c r="K179" s="152">
        <v>0.42</v>
      </c>
      <c r="L179" s="149">
        <v>7</v>
      </c>
      <c r="M179" s="81"/>
      <c r="N179" s="81"/>
    </row>
    <row r="180" spans="1:14" ht="21.75">
      <c r="A180" s="165">
        <v>54</v>
      </c>
      <c r="B180" s="171" t="s">
        <v>541</v>
      </c>
      <c r="C180" s="172" t="s">
        <v>533</v>
      </c>
      <c r="D180" s="145">
        <v>13</v>
      </c>
      <c r="E180" s="145">
        <v>11</v>
      </c>
      <c r="F180" s="113" t="s">
        <v>350</v>
      </c>
      <c r="G180" s="113" t="s">
        <v>351</v>
      </c>
      <c r="H180" s="113" t="s">
        <v>352</v>
      </c>
      <c r="I180" s="152">
        <v>60</v>
      </c>
      <c r="J180" s="152">
        <v>3.37</v>
      </c>
      <c r="K180" s="152">
        <v>4.03</v>
      </c>
      <c r="L180" s="152">
        <v>67.4</v>
      </c>
      <c r="M180" s="81"/>
      <c r="N180" s="81"/>
    </row>
    <row r="181" spans="1:14" ht="21.75">
      <c r="A181" s="165">
        <v>55</v>
      </c>
      <c r="B181" s="171" t="s">
        <v>542</v>
      </c>
      <c r="C181" s="172" t="s">
        <v>543</v>
      </c>
      <c r="D181" s="145">
        <v>38</v>
      </c>
      <c r="E181" s="145">
        <v>11</v>
      </c>
      <c r="F181" s="113" t="s">
        <v>350</v>
      </c>
      <c r="G181" s="113" t="s">
        <v>351</v>
      </c>
      <c r="H181" s="113" t="s">
        <v>352</v>
      </c>
      <c r="I181" s="152">
        <v>2.55</v>
      </c>
      <c r="J181" s="152">
        <v>0.14</v>
      </c>
      <c r="K181" s="152">
        <v>0.18</v>
      </c>
      <c r="L181" s="149">
        <v>2.87</v>
      </c>
      <c r="M181" s="81"/>
      <c r="N181" s="81"/>
    </row>
    <row r="182" spans="1:14" ht="21.75">
      <c r="A182" s="165">
        <v>56</v>
      </c>
      <c r="B182" s="171" t="s">
        <v>472</v>
      </c>
      <c r="C182" s="172" t="s">
        <v>473</v>
      </c>
      <c r="D182" s="145">
        <v>3</v>
      </c>
      <c r="E182" s="145">
        <v>11</v>
      </c>
      <c r="F182" s="113" t="s">
        <v>350</v>
      </c>
      <c r="G182" s="113" t="s">
        <v>351</v>
      </c>
      <c r="H182" s="113" t="s">
        <v>352</v>
      </c>
      <c r="I182" s="152">
        <v>34.98</v>
      </c>
      <c r="J182" s="152">
        <v>1.97</v>
      </c>
      <c r="K182" s="152">
        <v>2.35</v>
      </c>
      <c r="L182" s="152">
        <v>39.3</v>
      </c>
      <c r="M182" s="81"/>
      <c r="N182" s="81"/>
    </row>
    <row r="183" spans="1:14" ht="21.75">
      <c r="A183" s="165">
        <v>57</v>
      </c>
      <c r="B183" s="171" t="s">
        <v>544</v>
      </c>
      <c r="C183" s="172" t="s">
        <v>545</v>
      </c>
      <c r="D183" s="145">
        <v>170</v>
      </c>
      <c r="E183" s="145">
        <v>12</v>
      </c>
      <c r="F183" s="113" t="s">
        <v>350</v>
      </c>
      <c r="G183" s="113" t="s">
        <v>351</v>
      </c>
      <c r="H183" s="113" t="s">
        <v>352</v>
      </c>
      <c r="I183" s="152">
        <v>7.22</v>
      </c>
      <c r="J183" s="152">
        <v>0.4</v>
      </c>
      <c r="K183" s="152">
        <v>0.49</v>
      </c>
      <c r="L183" s="149">
        <v>8.11</v>
      </c>
      <c r="M183" s="81"/>
      <c r="N183" s="81"/>
    </row>
    <row r="184" spans="1:14" ht="21.75">
      <c r="A184" s="598" t="s">
        <v>53</v>
      </c>
      <c r="B184" s="598"/>
      <c r="C184" s="598"/>
      <c r="D184" s="598"/>
      <c r="E184" s="598"/>
      <c r="F184" s="598"/>
      <c r="G184" s="598"/>
      <c r="H184" s="598"/>
      <c r="I184" s="97">
        <f>SUM(I156:I183)</f>
        <v>679.71</v>
      </c>
      <c r="J184" s="97">
        <f>SUM(J156:J183)</f>
        <v>38.19</v>
      </c>
      <c r="K184" s="97">
        <f>SUM(K156:K183)</f>
        <v>45.79</v>
      </c>
      <c r="L184" s="97">
        <f>SUM(L156:L183)</f>
        <v>763.6900000000002</v>
      </c>
      <c r="M184" s="81"/>
      <c r="N184" s="81"/>
    </row>
    <row r="185" spans="1:14" ht="21.75">
      <c r="A185" s="107"/>
      <c r="B185" s="107"/>
      <c r="C185" s="107"/>
      <c r="D185" s="107"/>
      <c r="E185" s="107"/>
      <c r="F185" s="107"/>
      <c r="G185" s="107"/>
      <c r="H185" s="107"/>
      <c r="I185" s="130"/>
      <c r="J185" s="130"/>
      <c r="K185" s="130"/>
      <c r="L185" s="130"/>
      <c r="M185" s="81"/>
      <c r="N185" s="81"/>
    </row>
    <row r="186" spans="1:14" ht="23.25">
      <c r="A186" s="588" t="s">
        <v>360</v>
      </c>
      <c r="B186" s="588"/>
      <c r="C186" s="588"/>
      <c r="D186" s="588"/>
      <c r="E186" s="588"/>
      <c r="F186" s="588"/>
      <c r="G186" s="588"/>
      <c r="H186" s="588"/>
      <c r="I186" s="588"/>
      <c r="J186" s="588"/>
      <c r="K186" s="588"/>
      <c r="L186" s="588"/>
      <c r="M186" s="81"/>
      <c r="N186" s="81"/>
    </row>
    <row r="187" spans="1:14" ht="23.25">
      <c r="A187" s="588" t="s">
        <v>482</v>
      </c>
      <c r="B187" s="588"/>
      <c r="C187" s="588"/>
      <c r="D187" s="588"/>
      <c r="E187" s="588"/>
      <c r="F187" s="588"/>
      <c r="G187" s="588"/>
      <c r="H187" s="588"/>
      <c r="I187" s="588"/>
      <c r="J187" s="588"/>
      <c r="K187" s="588"/>
      <c r="L187" s="588"/>
      <c r="M187" s="81"/>
      <c r="N187" s="81"/>
    </row>
    <row r="188" spans="1:14" ht="23.25">
      <c r="A188" s="599" t="s">
        <v>362</v>
      </c>
      <c r="B188" s="599"/>
      <c r="C188" s="599"/>
      <c r="D188" s="599"/>
      <c r="E188" s="599"/>
      <c r="F188" s="599"/>
      <c r="G188" s="599"/>
      <c r="H188" s="599"/>
      <c r="I188" s="599"/>
      <c r="J188" s="599"/>
      <c r="K188" s="599"/>
      <c r="L188" s="599"/>
      <c r="M188" s="81"/>
      <c r="N188" s="81"/>
    </row>
    <row r="189" spans="1:14" ht="21.75">
      <c r="A189" s="100" t="s">
        <v>337</v>
      </c>
      <c r="B189" s="592" t="s">
        <v>338</v>
      </c>
      <c r="C189" s="594" t="s">
        <v>339</v>
      </c>
      <c r="D189" s="596" t="s">
        <v>340</v>
      </c>
      <c r="E189" s="596" t="s">
        <v>341</v>
      </c>
      <c r="F189" s="596" t="s">
        <v>342</v>
      </c>
      <c r="G189" s="596" t="s">
        <v>343</v>
      </c>
      <c r="H189" s="596" t="s">
        <v>344</v>
      </c>
      <c r="I189" s="82" t="s">
        <v>345</v>
      </c>
      <c r="J189" s="83">
        <v>0.05</v>
      </c>
      <c r="K189" s="83">
        <v>0.06</v>
      </c>
      <c r="L189" s="82" t="s">
        <v>278</v>
      </c>
      <c r="M189" s="81"/>
      <c r="N189" s="81"/>
    </row>
    <row r="190" spans="1:14" ht="21.75">
      <c r="A190" s="101" t="s">
        <v>346</v>
      </c>
      <c r="B190" s="593"/>
      <c r="C190" s="595"/>
      <c r="D190" s="597"/>
      <c r="E190" s="597"/>
      <c r="F190" s="597"/>
      <c r="G190" s="597"/>
      <c r="H190" s="597"/>
      <c r="I190" s="85">
        <v>0.89</v>
      </c>
      <c r="J190" s="85"/>
      <c r="K190" s="85"/>
      <c r="L190" s="84" t="s">
        <v>347</v>
      </c>
      <c r="M190" s="81"/>
      <c r="N190" s="81"/>
    </row>
    <row r="191" spans="1:14" ht="21.75">
      <c r="A191" s="165">
        <v>58</v>
      </c>
      <c r="B191" s="124" t="s">
        <v>479</v>
      </c>
      <c r="C191" s="129" t="s">
        <v>480</v>
      </c>
      <c r="D191" s="128">
        <v>36</v>
      </c>
      <c r="E191" s="128">
        <v>12</v>
      </c>
      <c r="F191" s="91" t="s">
        <v>350</v>
      </c>
      <c r="G191" s="91" t="s">
        <v>351</v>
      </c>
      <c r="H191" s="91" t="s">
        <v>352</v>
      </c>
      <c r="I191" s="123">
        <v>4.26</v>
      </c>
      <c r="J191" s="123">
        <v>0.24</v>
      </c>
      <c r="K191" s="123">
        <v>0.28</v>
      </c>
      <c r="L191" s="123">
        <v>4.78</v>
      </c>
      <c r="M191" s="81"/>
      <c r="N191" s="81"/>
    </row>
    <row r="192" spans="1:14" ht="21.75">
      <c r="A192" s="165">
        <v>59</v>
      </c>
      <c r="B192" s="124" t="s">
        <v>481</v>
      </c>
      <c r="C192" s="125" t="s">
        <v>380</v>
      </c>
      <c r="D192" s="128">
        <v>41</v>
      </c>
      <c r="E192" s="128">
        <v>12</v>
      </c>
      <c r="F192" s="91" t="s">
        <v>350</v>
      </c>
      <c r="G192" s="91" t="s">
        <v>351</v>
      </c>
      <c r="H192" s="91" t="s">
        <v>352</v>
      </c>
      <c r="I192" s="123">
        <v>113.52</v>
      </c>
      <c r="J192" s="123">
        <v>6.38</v>
      </c>
      <c r="K192" s="123">
        <v>7.65</v>
      </c>
      <c r="L192" s="123">
        <v>127.55</v>
      </c>
      <c r="M192" s="81"/>
      <c r="N192" s="81"/>
    </row>
    <row r="193" spans="1:14" ht="21.75">
      <c r="A193" s="165">
        <v>60</v>
      </c>
      <c r="B193" s="92" t="s">
        <v>396</v>
      </c>
      <c r="C193" s="93" t="s">
        <v>397</v>
      </c>
      <c r="D193" s="91" t="s">
        <v>398</v>
      </c>
      <c r="E193" s="91" t="s">
        <v>399</v>
      </c>
      <c r="F193" s="91" t="s">
        <v>400</v>
      </c>
      <c r="G193" s="91" t="s">
        <v>351</v>
      </c>
      <c r="H193" s="91" t="s">
        <v>352</v>
      </c>
      <c r="I193" s="95">
        <v>9.14</v>
      </c>
      <c r="J193" s="96">
        <v>0.51</v>
      </c>
      <c r="K193" s="96">
        <v>0.62</v>
      </c>
      <c r="L193" s="123">
        <v>10.27</v>
      </c>
      <c r="M193" s="81"/>
      <c r="N193" s="81"/>
    </row>
    <row r="194" spans="1:14" ht="21.75">
      <c r="A194" s="165">
        <v>61</v>
      </c>
      <c r="B194" s="124" t="s">
        <v>402</v>
      </c>
      <c r="C194" s="125" t="s">
        <v>403</v>
      </c>
      <c r="D194" s="579" t="s">
        <v>404</v>
      </c>
      <c r="E194" s="580"/>
      <c r="F194" s="580"/>
      <c r="G194" s="580"/>
      <c r="H194" s="565"/>
      <c r="I194" s="123">
        <v>22.04</v>
      </c>
      <c r="J194" s="123">
        <v>1.24</v>
      </c>
      <c r="K194" s="123">
        <v>1.48</v>
      </c>
      <c r="L194" s="123">
        <v>24.76</v>
      </c>
      <c r="M194" s="81"/>
      <c r="N194" s="81"/>
    </row>
    <row r="195" spans="1:14" ht="21.75">
      <c r="A195" s="165">
        <v>62</v>
      </c>
      <c r="B195" s="124" t="s">
        <v>442</v>
      </c>
      <c r="C195" s="125" t="s">
        <v>443</v>
      </c>
      <c r="D195" s="128" t="s">
        <v>444</v>
      </c>
      <c r="E195" s="127" t="s">
        <v>445</v>
      </c>
      <c r="F195" s="91" t="s">
        <v>400</v>
      </c>
      <c r="G195" s="91" t="s">
        <v>351</v>
      </c>
      <c r="H195" s="91" t="s">
        <v>352</v>
      </c>
      <c r="I195" s="123">
        <v>20.47</v>
      </c>
      <c r="J195" s="123">
        <v>1.15</v>
      </c>
      <c r="K195" s="123">
        <v>1.38</v>
      </c>
      <c r="L195" s="123">
        <v>23</v>
      </c>
      <c r="M195" s="81"/>
      <c r="N195" s="81"/>
    </row>
    <row r="196" spans="1:14" ht="21.75">
      <c r="A196" s="165">
        <v>63</v>
      </c>
      <c r="B196" s="124" t="s">
        <v>405</v>
      </c>
      <c r="C196" s="125" t="s">
        <v>406</v>
      </c>
      <c r="D196" s="91">
        <v>7</v>
      </c>
      <c r="E196" s="91">
        <v>4</v>
      </c>
      <c r="F196" s="132" t="s">
        <v>407</v>
      </c>
      <c r="G196" s="132" t="s">
        <v>407</v>
      </c>
      <c r="H196" s="91" t="s">
        <v>352</v>
      </c>
      <c r="I196" s="123">
        <v>8.61</v>
      </c>
      <c r="J196" s="123">
        <v>0.48</v>
      </c>
      <c r="K196" s="123">
        <v>0.58</v>
      </c>
      <c r="L196" s="123">
        <v>9.67</v>
      </c>
      <c r="M196" s="81"/>
      <c r="N196" s="81"/>
    </row>
    <row r="197" spans="1:14" ht="21.75">
      <c r="A197" s="165">
        <v>64</v>
      </c>
      <c r="B197" s="124" t="s">
        <v>448</v>
      </c>
      <c r="C197" s="125" t="s">
        <v>449</v>
      </c>
      <c r="D197" s="135" t="s">
        <v>450</v>
      </c>
      <c r="E197" s="135"/>
      <c r="F197" s="135"/>
      <c r="G197" s="135" t="s">
        <v>451</v>
      </c>
      <c r="H197" s="135"/>
      <c r="I197" s="123">
        <v>10.52</v>
      </c>
      <c r="J197" s="123">
        <v>0.59</v>
      </c>
      <c r="K197" s="123">
        <v>0.71</v>
      </c>
      <c r="L197" s="123">
        <v>11.82</v>
      </c>
      <c r="M197" s="81"/>
      <c r="N197" s="81"/>
    </row>
    <row r="198" spans="1:14" ht="21.75">
      <c r="A198" s="165">
        <v>65</v>
      </c>
      <c r="B198" s="92" t="s">
        <v>464</v>
      </c>
      <c r="C198" s="93" t="s">
        <v>465</v>
      </c>
      <c r="D198" s="91">
        <v>399</v>
      </c>
      <c r="E198" s="138" t="s">
        <v>466</v>
      </c>
      <c r="F198" s="113" t="s">
        <v>400</v>
      </c>
      <c r="G198" s="113" t="s">
        <v>351</v>
      </c>
      <c r="H198" s="113" t="s">
        <v>352</v>
      </c>
      <c r="I198" s="96">
        <v>26.35</v>
      </c>
      <c r="J198" s="96">
        <v>1.48</v>
      </c>
      <c r="K198" s="96">
        <v>1.78</v>
      </c>
      <c r="L198" s="123">
        <v>29.61</v>
      </c>
      <c r="M198" s="81"/>
      <c r="N198" s="81"/>
    </row>
    <row r="199" spans="1:14" ht="21.75">
      <c r="A199" s="165">
        <v>66</v>
      </c>
      <c r="B199" s="92" t="s">
        <v>467</v>
      </c>
      <c r="C199" s="137" t="s">
        <v>468</v>
      </c>
      <c r="D199" s="91">
        <v>23</v>
      </c>
      <c r="E199" s="91">
        <v>13</v>
      </c>
      <c r="F199" s="139" t="s">
        <v>469</v>
      </c>
      <c r="G199" s="139" t="s">
        <v>470</v>
      </c>
      <c r="H199" s="113" t="s">
        <v>471</v>
      </c>
      <c r="I199" s="96">
        <v>19.58</v>
      </c>
      <c r="J199" s="96">
        <v>1.1</v>
      </c>
      <c r="K199" s="96">
        <v>1.32</v>
      </c>
      <c r="L199" s="123">
        <v>22</v>
      </c>
      <c r="M199" s="81"/>
      <c r="N199" s="81"/>
    </row>
    <row r="200" spans="1:14" ht="21.75">
      <c r="A200" s="165">
        <v>67</v>
      </c>
      <c r="B200" s="124" t="s">
        <v>474</v>
      </c>
      <c r="C200" s="125" t="s">
        <v>475</v>
      </c>
      <c r="D200" s="128">
        <v>56</v>
      </c>
      <c r="E200" s="128">
        <v>10</v>
      </c>
      <c r="F200" s="91" t="s">
        <v>476</v>
      </c>
      <c r="G200" s="91" t="s">
        <v>351</v>
      </c>
      <c r="H200" s="91" t="s">
        <v>352</v>
      </c>
      <c r="I200" s="123">
        <v>10.57</v>
      </c>
      <c r="J200" s="123">
        <v>0.59</v>
      </c>
      <c r="K200" s="123">
        <v>0.72</v>
      </c>
      <c r="L200" s="123">
        <v>11.88</v>
      </c>
      <c r="M200" s="81"/>
      <c r="N200" s="81"/>
    </row>
    <row r="201" spans="1:14" ht="22.5" thickBot="1">
      <c r="A201" s="575" t="s">
        <v>53</v>
      </c>
      <c r="B201" s="575"/>
      <c r="C201" s="575"/>
      <c r="D201" s="575"/>
      <c r="E201" s="575"/>
      <c r="F201" s="575"/>
      <c r="G201" s="575"/>
      <c r="H201" s="575"/>
      <c r="I201" s="173">
        <f>SUM(I191:I200)</f>
        <v>245.06</v>
      </c>
      <c r="J201" s="173">
        <f>SUM(J191:J200)</f>
        <v>13.76</v>
      </c>
      <c r="K201" s="173">
        <f>SUM(K191:K200)</f>
        <v>16.52</v>
      </c>
      <c r="L201" s="173">
        <f>SUM(L191:L200)</f>
        <v>275.34</v>
      </c>
      <c r="M201" s="81"/>
      <c r="N201" s="81"/>
    </row>
    <row r="202" spans="1:14" ht="23.25" thickBot="1" thickTop="1">
      <c r="A202" s="576" t="s">
        <v>53</v>
      </c>
      <c r="B202" s="577"/>
      <c r="C202" s="577"/>
      <c r="D202" s="577"/>
      <c r="E202" s="577"/>
      <c r="F202" s="577"/>
      <c r="G202" s="577"/>
      <c r="H202" s="578"/>
      <c r="I202" s="174">
        <f>+I9+I22+I42+I55+I90+I114+I150+I184+I201</f>
        <v>3856.8635</v>
      </c>
      <c r="J202" s="174">
        <f>+J9+J22+J42+J55+J90+J114+J150+J184+J201</f>
        <v>216.6325</v>
      </c>
      <c r="K202" s="174">
        <f>+K9+K22+K42+K55+K90+K114+K150+K184+K201</f>
        <v>259.9669</v>
      </c>
      <c r="L202" s="174">
        <f>+L9+L22+L42+L55+L90+L114+L150+L184+L201</f>
        <v>4333.4479</v>
      </c>
      <c r="M202" s="81"/>
      <c r="N202" s="81"/>
    </row>
    <row r="203" spans="1:14" ht="22.5" thickTop="1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</row>
  </sheetData>
  <mergeCells count="102">
    <mergeCell ref="A201:H201"/>
    <mergeCell ref="A202:H202"/>
    <mergeCell ref="F189:F190"/>
    <mergeCell ref="G189:G190"/>
    <mergeCell ref="H189:H190"/>
    <mergeCell ref="D194:H194"/>
    <mergeCell ref="B189:B190"/>
    <mergeCell ref="C189:C190"/>
    <mergeCell ref="D189:D190"/>
    <mergeCell ref="E189:E190"/>
    <mergeCell ref="A184:H184"/>
    <mergeCell ref="A186:L186"/>
    <mergeCell ref="A187:L187"/>
    <mergeCell ref="A188:L188"/>
    <mergeCell ref="A151:L151"/>
    <mergeCell ref="A152:L152"/>
    <mergeCell ref="A153:L153"/>
    <mergeCell ref="B154:B155"/>
    <mergeCell ref="C154:C155"/>
    <mergeCell ref="D154:D155"/>
    <mergeCell ref="E154:E155"/>
    <mergeCell ref="F154:F155"/>
    <mergeCell ref="G154:G155"/>
    <mergeCell ref="H154:H155"/>
    <mergeCell ref="F119:F120"/>
    <mergeCell ref="G119:G120"/>
    <mergeCell ref="H119:H120"/>
    <mergeCell ref="A150:H150"/>
    <mergeCell ref="B119:B120"/>
    <mergeCell ref="C119:C120"/>
    <mergeCell ref="D119:D120"/>
    <mergeCell ref="E119:E120"/>
    <mergeCell ref="A114:H114"/>
    <mergeCell ref="A116:L116"/>
    <mergeCell ref="A117:L117"/>
    <mergeCell ref="A118:L118"/>
    <mergeCell ref="A94:L94"/>
    <mergeCell ref="B95:B96"/>
    <mergeCell ref="C95:C96"/>
    <mergeCell ref="D95:D96"/>
    <mergeCell ref="E95:E96"/>
    <mergeCell ref="F95:F96"/>
    <mergeCell ref="G95:G96"/>
    <mergeCell ref="H95:H96"/>
    <mergeCell ref="D69:H69"/>
    <mergeCell ref="A90:H90"/>
    <mergeCell ref="A92:L92"/>
    <mergeCell ref="A93:L93"/>
    <mergeCell ref="A56:L56"/>
    <mergeCell ref="A58:L58"/>
    <mergeCell ref="A59:L59"/>
    <mergeCell ref="B60:B61"/>
    <mergeCell ref="C60:C61"/>
    <mergeCell ref="D60:D61"/>
    <mergeCell ref="E60:E61"/>
    <mergeCell ref="F60:F61"/>
    <mergeCell ref="G60:G61"/>
    <mergeCell ref="H60:H61"/>
    <mergeCell ref="F47:F48"/>
    <mergeCell ref="G47:G48"/>
    <mergeCell ref="H47:H48"/>
    <mergeCell ref="A55:H55"/>
    <mergeCell ref="B47:B48"/>
    <mergeCell ref="C47:C48"/>
    <mergeCell ref="D47:D48"/>
    <mergeCell ref="E47:E48"/>
    <mergeCell ref="A42:H42"/>
    <mergeCell ref="A44:L44"/>
    <mergeCell ref="A45:L45"/>
    <mergeCell ref="A46:L46"/>
    <mergeCell ref="A24:L24"/>
    <mergeCell ref="A25:L25"/>
    <mergeCell ref="A26:L26"/>
    <mergeCell ref="B27:B28"/>
    <mergeCell ref="C27:C28"/>
    <mergeCell ref="D27:D28"/>
    <mergeCell ref="E27:E28"/>
    <mergeCell ref="F27:F28"/>
    <mergeCell ref="G27:G28"/>
    <mergeCell ref="H27:H28"/>
    <mergeCell ref="F14:F15"/>
    <mergeCell ref="G14:G15"/>
    <mergeCell ref="H14:H15"/>
    <mergeCell ref="A22:H22"/>
    <mergeCell ref="B14:B15"/>
    <mergeCell ref="C14:C15"/>
    <mergeCell ref="D14:D15"/>
    <mergeCell ref="E14:E15"/>
    <mergeCell ref="A9:H9"/>
    <mergeCell ref="A11:L11"/>
    <mergeCell ref="A12:L12"/>
    <mergeCell ref="A13:L13"/>
    <mergeCell ref="A57:L57"/>
    <mergeCell ref="A1:L1"/>
    <mergeCell ref="A2:L2"/>
    <mergeCell ref="B3:B4"/>
    <mergeCell ref="C3:C4"/>
    <mergeCell ref="D3:D4"/>
    <mergeCell ref="E3:E4"/>
    <mergeCell ref="F3:F4"/>
    <mergeCell ref="G3:G4"/>
    <mergeCell ref="H3:H4"/>
  </mergeCells>
  <printOptions/>
  <pageMargins left="0.42" right="0.31496062992125984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18" sqref="E18"/>
    </sheetView>
  </sheetViews>
  <sheetFormatPr defaultColWidth="9.140625" defaultRowHeight="21.75"/>
  <cols>
    <col min="1" max="1" width="7.140625" style="26" customWidth="1"/>
    <col min="2" max="2" width="14.57421875" style="26" customWidth="1"/>
    <col min="3" max="3" width="17.00390625" style="26" customWidth="1"/>
    <col min="4" max="4" width="12.8515625" style="26" customWidth="1"/>
    <col min="5" max="5" width="16.00390625" style="26" customWidth="1"/>
    <col min="6" max="6" width="5.421875" style="26" customWidth="1"/>
    <col min="7" max="7" width="21.57421875" style="26" customWidth="1"/>
    <col min="8" max="16384" width="9.140625" style="26" customWidth="1"/>
  </cols>
  <sheetData>
    <row r="1" spans="1:7" ht="23.25">
      <c r="A1" s="605" t="s">
        <v>591</v>
      </c>
      <c r="B1" s="605"/>
      <c r="C1" s="605"/>
      <c r="D1" s="605"/>
      <c r="E1" s="605"/>
      <c r="F1" s="605"/>
      <c r="G1" s="605"/>
    </row>
    <row r="2" spans="1:7" ht="23.25">
      <c r="A2" s="605" t="s">
        <v>592</v>
      </c>
      <c r="B2" s="605"/>
      <c r="C2" s="605"/>
      <c r="D2" s="605"/>
      <c r="E2" s="605"/>
      <c r="F2" s="605"/>
      <c r="G2" s="605"/>
    </row>
    <row r="3" spans="1:7" ht="16.5" customHeight="1">
      <c r="A3" s="34"/>
      <c r="B3" s="34"/>
      <c r="C3" s="34"/>
      <c r="D3" s="34"/>
      <c r="E3" s="34"/>
      <c r="F3" s="34"/>
      <c r="G3" s="34"/>
    </row>
    <row r="4" spans="1:7" ht="21">
      <c r="A4" s="567" t="s">
        <v>57</v>
      </c>
      <c r="B4" s="567" t="s">
        <v>593</v>
      </c>
      <c r="C4" s="567"/>
      <c r="D4" s="567" t="s">
        <v>594</v>
      </c>
      <c r="E4" s="566" t="s">
        <v>278</v>
      </c>
      <c r="F4" s="566"/>
      <c r="G4" s="567" t="s">
        <v>595</v>
      </c>
    </row>
    <row r="5" spans="1:7" ht="21">
      <c r="A5" s="568"/>
      <c r="B5" s="568"/>
      <c r="C5" s="568"/>
      <c r="D5" s="568"/>
      <c r="E5" s="193" t="s">
        <v>3</v>
      </c>
      <c r="F5" s="193" t="s">
        <v>596</v>
      </c>
      <c r="G5" s="568"/>
    </row>
    <row r="6" spans="1:7" ht="21">
      <c r="A6" s="194">
        <v>1</v>
      </c>
      <c r="B6" s="195" t="s">
        <v>597</v>
      </c>
      <c r="C6" s="196" t="s">
        <v>598</v>
      </c>
      <c r="D6" s="194">
        <v>2553</v>
      </c>
      <c r="E6" s="197">
        <v>945</v>
      </c>
      <c r="F6" s="198" t="s">
        <v>249</v>
      </c>
      <c r="G6" s="194"/>
    </row>
    <row r="7" spans="1:7" ht="21">
      <c r="A7" s="194">
        <v>2</v>
      </c>
      <c r="B7" s="195" t="s">
        <v>599</v>
      </c>
      <c r="C7" s="199"/>
      <c r="D7" s="194">
        <v>2553</v>
      </c>
      <c r="E7" s="200">
        <v>34425</v>
      </c>
      <c r="F7" s="198" t="s">
        <v>249</v>
      </c>
      <c r="G7" s="194"/>
    </row>
    <row r="8" spans="1:7" ht="21">
      <c r="A8" s="201"/>
      <c r="B8" s="202"/>
      <c r="C8" s="203"/>
      <c r="D8" s="201"/>
      <c r="E8" s="201"/>
      <c r="F8" s="201"/>
      <c r="G8" s="201"/>
    </row>
    <row r="9" spans="1:7" ht="21">
      <c r="A9" s="563" t="s">
        <v>600</v>
      </c>
      <c r="B9" s="564"/>
      <c r="C9" s="564"/>
      <c r="D9" s="604"/>
      <c r="E9" s="204">
        <f>SUM(E6:E8)</f>
        <v>35370</v>
      </c>
      <c r="F9" s="205" t="s">
        <v>249</v>
      </c>
      <c r="G9" s="206"/>
    </row>
    <row r="10" ht="21">
      <c r="E10" s="207"/>
    </row>
    <row r="11" spans="1:7" ht="21">
      <c r="A11" s="567" t="s">
        <v>57</v>
      </c>
      <c r="B11" s="567" t="s">
        <v>593</v>
      </c>
      <c r="C11" s="567"/>
      <c r="D11" s="567" t="s">
        <v>594</v>
      </c>
      <c r="E11" s="566" t="s">
        <v>278</v>
      </c>
      <c r="F11" s="566"/>
      <c r="G11" s="567" t="s">
        <v>595</v>
      </c>
    </row>
    <row r="12" spans="1:7" ht="21">
      <c r="A12" s="568"/>
      <c r="B12" s="568"/>
      <c r="C12" s="568"/>
      <c r="D12" s="568"/>
      <c r="E12" s="193" t="s">
        <v>3</v>
      </c>
      <c r="F12" s="193" t="s">
        <v>596</v>
      </c>
      <c r="G12" s="568"/>
    </row>
    <row r="13" spans="1:7" ht="21">
      <c r="A13" s="194">
        <v>1</v>
      </c>
      <c r="B13" s="195" t="s">
        <v>597</v>
      </c>
      <c r="C13" s="196" t="s">
        <v>598</v>
      </c>
      <c r="D13" s="194">
        <v>2554</v>
      </c>
      <c r="E13" s="197">
        <v>945</v>
      </c>
      <c r="F13" s="198" t="s">
        <v>249</v>
      </c>
      <c r="G13" s="194"/>
    </row>
    <row r="14" spans="1:7" ht="21">
      <c r="A14" s="194">
        <v>2</v>
      </c>
      <c r="B14" s="195" t="s">
        <v>599</v>
      </c>
      <c r="C14" s="199"/>
      <c r="D14" s="194">
        <v>2554</v>
      </c>
      <c r="E14" s="200">
        <v>34425</v>
      </c>
      <c r="F14" s="208" t="s">
        <v>249</v>
      </c>
      <c r="G14" s="194"/>
    </row>
    <row r="15" spans="1:7" ht="21">
      <c r="A15" s="209"/>
      <c r="B15" s="202"/>
      <c r="C15" s="203"/>
      <c r="D15" s="209"/>
      <c r="E15" s="210"/>
      <c r="F15" s="211"/>
      <c r="G15" s="201"/>
    </row>
    <row r="16" spans="1:7" ht="21.75" thickBot="1">
      <c r="A16" s="569" t="s">
        <v>601</v>
      </c>
      <c r="B16" s="570"/>
      <c r="C16" s="570"/>
      <c r="D16" s="561"/>
      <c r="E16" s="212">
        <f>SUM(E13:E15)</f>
        <v>35370</v>
      </c>
      <c r="F16" s="213" t="s">
        <v>249</v>
      </c>
      <c r="G16" s="214"/>
    </row>
    <row r="17" spans="1:7" ht="22.5" thickBot="1" thickTop="1">
      <c r="A17" s="562" t="s">
        <v>602</v>
      </c>
      <c r="B17" s="562"/>
      <c r="C17" s="562"/>
      <c r="D17" s="562"/>
      <c r="E17" s="215">
        <f>+E9+E16</f>
        <v>70740</v>
      </c>
      <c r="F17" s="216"/>
      <c r="G17" s="217"/>
    </row>
    <row r="18" spans="1:7" ht="21.75" thickTop="1">
      <c r="A18" s="80"/>
      <c r="B18" s="80"/>
      <c r="C18" s="80"/>
      <c r="D18" s="80"/>
      <c r="E18" s="218"/>
      <c r="F18" s="219"/>
      <c r="G18" s="191"/>
    </row>
    <row r="19" spans="1:7" ht="21">
      <c r="A19" s="80"/>
      <c r="B19" s="80"/>
      <c r="C19" s="80"/>
      <c r="D19" s="80"/>
      <c r="E19" s="218"/>
      <c r="F19" s="219"/>
      <c r="G19" s="191"/>
    </row>
    <row r="20" spans="1:7" ht="21">
      <c r="A20" s="80"/>
      <c r="B20" s="80"/>
      <c r="C20" s="80"/>
      <c r="D20" s="80"/>
      <c r="E20" s="218"/>
      <c r="F20" s="219"/>
      <c r="G20" s="191"/>
    </row>
    <row r="21" spans="1:7" ht="21">
      <c r="A21" s="80"/>
      <c r="B21" s="80"/>
      <c r="C21" s="80"/>
      <c r="D21" s="80"/>
      <c r="E21" s="218"/>
      <c r="F21" s="219"/>
      <c r="G21" s="191"/>
    </row>
    <row r="22" spans="2:7" ht="21">
      <c r="B22" s="26" t="s">
        <v>603</v>
      </c>
      <c r="E22" s="26" t="s">
        <v>589</v>
      </c>
      <c r="G22" s="191"/>
    </row>
    <row r="23" spans="1:7" ht="21">
      <c r="A23" s="26" t="s">
        <v>590</v>
      </c>
      <c r="E23" s="26" t="s">
        <v>604</v>
      </c>
      <c r="G23" s="191"/>
    </row>
    <row r="24" spans="1:5" ht="21">
      <c r="A24" s="26" t="s">
        <v>611</v>
      </c>
      <c r="E24" s="26" t="s">
        <v>609</v>
      </c>
    </row>
    <row r="25" spans="1:5" ht="21">
      <c r="A25" s="26" t="s">
        <v>610</v>
      </c>
      <c r="E25" s="26" t="s">
        <v>605</v>
      </c>
    </row>
    <row r="27" ht="21">
      <c r="C27" s="26" t="s">
        <v>606</v>
      </c>
    </row>
    <row r="28" ht="21">
      <c r="C28" s="26" t="s">
        <v>607</v>
      </c>
    </row>
    <row r="29" ht="21">
      <c r="C29" s="26" t="s">
        <v>608</v>
      </c>
    </row>
  </sheetData>
  <mergeCells count="15">
    <mergeCell ref="A1:G1"/>
    <mergeCell ref="A2:G2"/>
    <mergeCell ref="A4:A5"/>
    <mergeCell ref="B4:C5"/>
    <mergeCell ref="D4:D5"/>
    <mergeCell ref="E4:F4"/>
    <mergeCell ref="G4:G5"/>
    <mergeCell ref="A9:D9"/>
    <mergeCell ref="A11:A12"/>
    <mergeCell ref="B11:C12"/>
    <mergeCell ref="D11:D12"/>
    <mergeCell ref="E11:F11"/>
    <mergeCell ref="G11:G12"/>
    <mergeCell ref="A16:D16"/>
    <mergeCell ref="A17:D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4">
      <selection activeCell="J11" sqref="J11"/>
    </sheetView>
  </sheetViews>
  <sheetFormatPr defaultColWidth="9.140625" defaultRowHeight="21.75"/>
  <cols>
    <col min="1" max="1" width="6.00390625" style="0" customWidth="1"/>
    <col min="2" max="2" width="10.28125" style="0" customWidth="1"/>
    <col min="3" max="3" width="14.00390625" style="0" customWidth="1"/>
    <col min="4" max="4" width="12.140625" style="0" customWidth="1"/>
    <col min="5" max="5" width="24.28125" style="0" customWidth="1"/>
    <col min="6" max="6" width="7.57421875" style="0" customWidth="1"/>
    <col min="7" max="7" width="13.00390625" style="0" customWidth="1"/>
  </cols>
  <sheetData>
    <row r="1" spans="1:8" ht="25.5">
      <c r="A1" s="606" t="s">
        <v>684</v>
      </c>
      <c r="B1" s="606"/>
      <c r="C1" s="606"/>
      <c r="D1" s="606"/>
      <c r="E1" s="606"/>
      <c r="F1" s="606"/>
      <c r="G1" s="606"/>
      <c r="H1" s="606"/>
    </row>
    <row r="2" spans="1:8" ht="25.5">
      <c r="A2" s="606" t="s">
        <v>546</v>
      </c>
      <c r="B2" s="606"/>
      <c r="C2" s="606"/>
      <c r="D2" s="606"/>
      <c r="E2" s="606"/>
      <c r="F2" s="606"/>
      <c r="G2" s="606"/>
      <c r="H2" s="606"/>
    </row>
    <row r="3" spans="1:8" ht="25.5">
      <c r="A3" s="606" t="s">
        <v>821</v>
      </c>
      <c r="B3" s="606"/>
      <c r="C3" s="606"/>
      <c r="D3" s="606"/>
      <c r="E3" s="606"/>
      <c r="F3" s="606"/>
      <c r="G3" s="606"/>
      <c r="H3" s="606"/>
    </row>
    <row r="4" spans="1:8" ht="21.75">
      <c r="A4" s="175"/>
      <c r="B4" s="175"/>
      <c r="C4" s="175"/>
      <c r="D4" s="175"/>
      <c r="E4" s="175"/>
      <c r="F4" s="175"/>
      <c r="G4" s="175"/>
      <c r="H4" s="175"/>
    </row>
    <row r="5" spans="1:8" ht="21.75">
      <c r="A5" s="176" t="s">
        <v>547</v>
      </c>
      <c r="B5" s="176" t="s">
        <v>548</v>
      </c>
      <c r="C5" s="607" t="s">
        <v>549</v>
      </c>
      <c r="D5" s="608"/>
      <c r="E5" s="176" t="s">
        <v>550</v>
      </c>
      <c r="F5" s="176" t="s">
        <v>551</v>
      </c>
      <c r="G5" s="176" t="s">
        <v>552</v>
      </c>
      <c r="H5" s="175"/>
    </row>
    <row r="6" spans="1:8" ht="21.75">
      <c r="A6" s="140">
        <v>1</v>
      </c>
      <c r="B6" s="177" t="s">
        <v>553</v>
      </c>
      <c r="C6" s="178" t="s">
        <v>375</v>
      </c>
      <c r="D6" s="179" t="s">
        <v>554</v>
      </c>
      <c r="E6" s="180" t="s">
        <v>555</v>
      </c>
      <c r="F6" s="140">
        <v>2</v>
      </c>
      <c r="G6" s="181">
        <v>60000</v>
      </c>
      <c r="H6" s="175"/>
    </row>
    <row r="7" spans="1:8" ht="21.75">
      <c r="A7" s="145">
        <v>2</v>
      </c>
      <c r="B7" s="182" t="s">
        <v>556</v>
      </c>
      <c r="C7" s="171" t="s">
        <v>557</v>
      </c>
      <c r="D7" s="172" t="s">
        <v>558</v>
      </c>
      <c r="E7" s="183" t="s">
        <v>559</v>
      </c>
      <c r="F7" s="145">
        <v>4</v>
      </c>
      <c r="G7" s="184">
        <v>30000</v>
      </c>
      <c r="H7" s="175"/>
    </row>
    <row r="8" spans="1:8" ht="21.75">
      <c r="A8" s="145">
        <v>3</v>
      </c>
      <c r="B8" s="182" t="s">
        <v>560</v>
      </c>
      <c r="C8" s="171" t="s">
        <v>561</v>
      </c>
      <c r="D8" s="172" t="s">
        <v>562</v>
      </c>
      <c r="E8" s="183" t="s">
        <v>563</v>
      </c>
      <c r="F8" s="145">
        <v>2</v>
      </c>
      <c r="G8" s="184">
        <v>100000</v>
      </c>
      <c r="H8" s="175"/>
    </row>
    <row r="9" spans="1:18" ht="25.5">
      <c r="A9" s="145">
        <v>4</v>
      </c>
      <c r="B9" s="182" t="s">
        <v>564</v>
      </c>
      <c r="C9" s="171" t="s">
        <v>565</v>
      </c>
      <c r="D9" s="172" t="s">
        <v>566</v>
      </c>
      <c r="E9" s="183" t="s">
        <v>567</v>
      </c>
      <c r="F9" s="145">
        <v>7</v>
      </c>
      <c r="G9" s="184">
        <v>20000</v>
      </c>
      <c r="H9" s="175"/>
      <c r="K9" s="606"/>
      <c r="L9" s="606"/>
      <c r="M9" s="606"/>
      <c r="N9" s="606"/>
      <c r="O9" s="606"/>
      <c r="P9" s="606"/>
      <c r="Q9" s="606"/>
      <c r="R9" s="606"/>
    </row>
    <row r="10" spans="1:18" ht="25.5">
      <c r="A10" s="145">
        <v>5</v>
      </c>
      <c r="B10" s="182" t="s">
        <v>568</v>
      </c>
      <c r="C10" s="171" t="s">
        <v>569</v>
      </c>
      <c r="D10" s="172" t="s">
        <v>463</v>
      </c>
      <c r="E10" s="183" t="s">
        <v>570</v>
      </c>
      <c r="F10" s="145">
        <v>8</v>
      </c>
      <c r="G10" s="184">
        <v>100000</v>
      </c>
      <c r="H10" s="175"/>
      <c r="K10" s="606"/>
      <c r="L10" s="606"/>
      <c r="M10" s="606"/>
      <c r="N10" s="606"/>
      <c r="O10" s="606"/>
      <c r="P10" s="606"/>
      <c r="Q10" s="606"/>
      <c r="R10" s="606"/>
    </row>
    <row r="11" spans="1:18" ht="25.5">
      <c r="A11" s="145">
        <v>6</v>
      </c>
      <c r="B11" s="182" t="s">
        <v>571</v>
      </c>
      <c r="C11" s="171" t="s">
        <v>429</v>
      </c>
      <c r="D11" s="172" t="s">
        <v>572</v>
      </c>
      <c r="E11" s="183" t="s">
        <v>573</v>
      </c>
      <c r="F11" s="145">
        <v>9</v>
      </c>
      <c r="G11" s="184">
        <v>70000</v>
      </c>
      <c r="H11" s="175"/>
      <c r="K11" s="606"/>
      <c r="L11" s="606"/>
      <c r="M11" s="606"/>
      <c r="N11" s="606"/>
      <c r="O11" s="606"/>
      <c r="P11" s="606"/>
      <c r="Q11" s="606"/>
      <c r="R11" s="606"/>
    </row>
    <row r="12" spans="1:18" ht="21.75">
      <c r="A12" s="145">
        <v>7</v>
      </c>
      <c r="B12" s="182" t="s">
        <v>574</v>
      </c>
      <c r="C12" s="171" t="s">
        <v>575</v>
      </c>
      <c r="D12" s="172" t="s">
        <v>576</v>
      </c>
      <c r="E12" s="183" t="s">
        <v>577</v>
      </c>
      <c r="F12" s="145">
        <v>6</v>
      </c>
      <c r="G12" s="184">
        <v>21600</v>
      </c>
      <c r="H12" s="175"/>
      <c r="K12" s="175"/>
      <c r="L12" s="175"/>
      <c r="M12" s="175"/>
      <c r="N12" s="175"/>
      <c r="O12" s="175"/>
      <c r="P12" s="175"/>
      <c r="Q12" s="175"/>
      <c r="R12" s="175"/>
    </row>
    <row r="13" spans="1:18" ht="21.75">
      <c r="A13" s="145">
        <v>8</v>
      </c>
      <c r="B13" s="182" t="s">
        <v>578</v>
      </c>
      <c r="C13" s="171" t="s">
        <v>579</v>
      </c>
      <c r="D13" s="172" t="s">
        <v>580</v>
      </c>
      <c r="E13" s="183" t="s">
        <v>581</v>
      </c>
      <c r="F13" s="145">
        <v>10</v>
      </c>
      <c r="G13" s="184">
        <v>35000</v>
      </c>
      <c r="H13" s="175"/>
      <c r="K13" s="185"/>
      <c r="L13" s="185"/>
      <c r="M13" s="610"/>
      <c r="N13" s="610"/>
      <c r="O13" s="185"/>
      <c r="P13" s="185"/>
      <c r="Q13" s="185"/>
      <c r="R13" s="175"/>
    </row>
    <row r="14" spans="1:18" ht="21.75">
      <c r="A14" s="145">
        <v>9</v>
      </c>
      <c r="B14" s="182" t="s">
        <v>582</v>
      </c>
      <c r="C14" s="171" t="s">
        <v>583</v>
      </c>
      <c r="D14" s="172" t="s">
        <v>383</v>
      </c>
      <c r="E14" s="183" t="s">
        <v>584</v>
      </c>
      <c r="F14" s="145">
        <v>6</v>
      </c>
      <c r="G14" s="184">
        <v>20000</v>
      </c>
      <c r="H14" s="175"/>
      <c r="K14" s="185"/>
      <c r="L14" s="186"/>
      <c r="M14" s="187"/>
      <c r="N14" s="187"/>
      <c r="O14" s="187"/>
      <c r="P14" s="185"/>
      <c r="Q14" s="188"/>
      <c r="R14" s="175"/>
    </row>
    <row r="15" spans="1:18" ht="21.75">
      <c r="A15" s="145">
        <v>10</v>
      </c>
      <c r="B15" s="182" t="s">
        <v>585</v>
      </c>
      <c r="C15" s="171" t="s">
        <v>586</v>
      </c>
      <c r="D15" s="172" t="s">
        <v>587</v>
      </c>
      <c r="E15" s="183" t="s">
        <v>588</v>
      </c>
      <c r="F15" s="145">
        <v>5</v>
      </c>
      <c r="G15" s="184">
        <v>20000</v>
      </c>
      <c r="H15" s="175"/>
      <c r="K15" s="185"/>
      <c r="L15" s="186"/>
      <c r="M15" s="187"/>
      <c r="N15" s="187"/>
      <c r="O15" s="187"/>
      <c r="P15" s="185"/>
      <c r="Q15" s="188"/>
      <c r="R15" s="175"/>
    </row>
    <row r="16" spans="1:18" ht="21.75">
      <c r="A16" s="607" t="s">
        <v>53</v>
      </c>
      <c r="B16" s="609"/>
      <c r="C16" s="609"/>
      <c r="D16" s="609"/>
      <c r="E16" s="609"/>
      <c r="F16" s="608"/>
      <c r="G16" s="189">
        <f>SUM(G6:G15)</f>
        <v>476600</v>
      </c>
      <c r="H16" s="175"/>
      <c r="K16" s="185"/>
      <c r="L16" s="186"/>
      <c r="M16" s="187"/>
      <c r="N16" s="187"/>
      <c r="O16" s="187"/>
      <c r="P16" s="185"/>
      <c r="Q16" s="188"/>
      <c r="R16" s="175"/>
    </row>
    <row r="17" spans="1:18" ht="21.75">
      <c r="A17" s="175"/>
      <c r="B17" s="175"/>
      <c r="C17" s="175"/>
      <c r="D17" s="175"/>
      <c r="E17" s="175"/>
      <c r="F17" s="175"/>
      <c r="G17" s="175"/>
      <c r="H17" s="175"/>
      <c r="K17" s="185"/>
      <c r="L17" s="186"/>
      <c r="M17" s="187"/>
      <c r="N17" s="187"/>
      <c r="O17" s="187"/>
      <c r="P17" s="185"/>
      <c r="Q17" s="188"/>
      <c r="R17" s="175"/>
    </row>
    <row r="18" spans="1:18" ht="21.75">
      <c r="A18" s="175"/>
      <c r="B18" s="175"/>
      <c r="C18" s="175"/>
      <c r="D18" s="175"/>
      <c r="E18" s="175"/>
      <c r="F18" s="175"/>
      <c r="G18" s="175"/>
      <c r="H18" s="175"/>
      <c r="K18" s="185"/>
      <c r="L18" s="186"/>
      <c r="M18" s="187"/>
      <c r="N18" s="187"/>
      <c r="O18" s="187"/>
      <c r="P18" s="185"/>
      <c r="Q18" s="188"/>
      <c r="R18" s="175"/>
    </row>
    <row r="19" spans="1:18" ht="21.75">
      <c r="A19" s="26"/>
      <c r="B19" s="26"/>
      <c r="C19" s="26"/>
      <c r="D19" s="26"/>
      <c r="E19" s="26"/>
      <c r="F19" s="26"/>
      <c r="G19" s="26"/>
      <c r="H19" s="190"/>
      <c r="K19" s="185"/>
      <c r="L19" s="186"/>
      <c r="M19" s="187"/>
      <c r="N19" s="187"/>
      <c r="O19" s="187"/>
      <c r="P19" s="185"/>
      <c r="Q19" s="188"/>
      <c r="R19" s="175"/>
    </row>
    <row r="20" spans="1:18" ht="21.75">
      <c r="A20" s="26"/>
      <c r="B20" s="26"/>
      <c r="C20" s="26"/>
      <c r="D20" s="26"/>
      <c r="E20" s="26"/>
      <c r="F20" s="26"/>
      <c r="G20" s="191"/>
      <c r="H20" s="26"/>
      <c r="K20" s="185"/>
      <c r="L20" s="186"/>
      <c r="M20" s="187"/>
      <c r="N20" s="187"/>
      <c r="O20" s="187"/>
      <c r="P20" s="185"/>
      <c r="Q20" s="188"/>
      <c r="R20" s="175"/>
    </row>
    <row r="21" spans="1:18" ht="21.75">
      <c r="A21" s="26"/>
      <c r="B21" s="26"/>
      <c r="C21" s="26"/>
      <c r="D21" s="26"/>
      <c r="E21" s="26"/>
      <c r="F21" s="26"/>
      <c r="G21" s="26"/>
      <c r="H21" s="26"/>
      <c r="K21" s="185"/>
      <c r="L21" s="186"/>
      <c r="M21" s="187"/>
      <c r="N21" s="187"/>
      <c r="O21" s="187"/>
      <c r="P21" s="185"/>
      <c r="Q21" s="188"/>
      <c r="R21" s="175"/>
    </row>
    <row r="22" spans="1:18" ht="21.75">
      <c r="A22" s="26"/>
      <c r="B22" s="26"/>
      <c r="C22" s="26"/>
      <c r="D22" s="26"/>
      <c r="E22" s="26"/>
      <c r="F22" s="26"/>
      <c r="G22" s="26"/>
      <c r="H22" s="26"/>
      <c r="K22" s="185"/>
      <c r="L22" s="186"/>
      <c r="M22" s="187"/>
      <c r="N22" s="187"/>
      <c r="O22" s="187"/>
      <c r="P22" s="185"/>
      <c r="Q22" s="188"/>
      <c r="R22" s="175"/>
    </row>
    <row r="23" spans="1:18" ht="21.75">
      <c r="A23" s="26"/>
      <c r="B23" s="26"/>
      <c r="C23" s="26"/>
      <c r="D23" s="26"/>
      <c r="E23" s="26"/>
      <c r="F23" s="26"/>
      <c r="G23" s="26"/>
      <c r="H23" s="175"/>
      <c r="K23" s="185"/>
      <c r="L23" s="186"/>
      <c r="M23" s="187"/>
      <c r="N23" s="187"/>
      <c r="O23" s="187"/>
      <c r="P23" s="185"/>
      <c r="Q23" s="188"/>
      <c r="R23" s="175"/>
    </row>
    <row r="24" spans="1:18" ht="21.75">
      <c r="A24" s="26"/>
      <c r="B24" s="26"/>
      <c r="C24" s="26"/>
      <c r="D24" s="26"/>
      <c r="E24" s="26"/>
      <c r="F24" s="26"/>
      <c r="G24" s="26"/>
      <c r="H24" s="175"/>
      <c r="K24" s="610"/>
      <c r="L24" s="610"/>
      <c r="M24" s="610"/>
      <c r="N24" s="610"/>
      <c r="O24" s="610"/>
      <c r="P24" s="610"/>
      <c r="Q24" s="192"/>
      <c r="R24" s="175"/>
    </row>
    <row r="25" spans="1:18" ht="21.75">
      <c r="A25" s="26"/>
      <c r="B25" s="26"/>
      <c r="C25" s="26"/>
      <c r="D25" s="26"/>
      <c r="E25" s="26"/>
      <c r="F25" s="26"/>
      <c r="G25" s="26"/>
      <c r="K25" s="187"/>
      <c r="L25" s="187"/>
      <c r="M25" s="187"/>
      <c r="N25" s="187"/>
      <c r="O25" s="187"/>
      <c r="P25" s="187"/>
      <c r="Q25" s="187"/>
      <c r="R25" s="175"/>
    </row>
    <row r="26" spans="1:18" ht="21.75">
      <c r="A26" s="26"/>
      <c r="B26" s="26"/>
      <c r="C26" s="26"/>
      <c r="D26" s="26"/>
      <c r="E26" s="26"/>
      <c r="F26" s="26"/>
      <c r="G26" s="26"/>
      <c r="K26" s="175"/>
      <c r="L26" s="175"/>
      <c r="M26" s="175"/>
      <c r="N26" s="175"/>
      <c r="O26" s="175"/>
      <c r="P26" s="175"/>
      <c r="Q26" s="175"/>
      <c r="R26" s="175"/>
    </row>
    <row r="27" spans="1:18" ht="21.75">
      <c r="A27" s="26"/>
      <c r="B27" s="26"/>
      <c r="F27" s="26"/>
      <c r="G27" s="26"/>
      <c r="K27" s="26"/>
      <c r="L27" s="26"/>
      <c r="M27" s="26"/>
      <c r="N27" s="26"/>
      <c r="O27" s="26"/>
      <c r="P27" s="26"/>
      <c r="Q27" s="26"/>
      <c r="R27" s="190"/>
    </row>
    <row r="28" spans="1:18" ht="21.75">
      <c r="A28" s="26"/>
      <c r="B28" s="26"/>
      <c r="F28" s="26"/>
      <c r="G28" s="26"/>
      <c r="K28" s="26"/>
      <c r="L28" s="26"/>
      <c r="M28" s="26"/>
      <c r="N28" s="26"/>
      <c r="O28" s="26"/>
      <c r="P28" s="26"/>
      <c r="Q28" s="26"/>
      <c r="R28" s="26"/>
    </row>
    <row r="29" spans="1:18" ht="21.75">
      <c r="A29" s="26"/>
      <c r="B29" s="26"/>
      <c r="C29" s="26"/>
      <c r="D29" s="26"/>
      <c r="E29" s="26"/>
      <c r="F29" s="26"/>
      <c r="G29" s="26"/>
      <c r="K29" s="26"/>
      <c r="L29" s="26"/>
      <c r="M29" s="26"/>
      <c r="N29" s="26"/>
      <c r="O29" s="26"/>
      <c r="P29" s="26"/>
      <c r="Q29" s="26"/>
      <c r="R29" s="26"/>
    </row>
    <row r="30" spans="11:18" ht="21.75">
      <c r="K30" s="26"/>
      <c r="L30" s="26"/>
      <c r="M30" s="26"/>
      <c r="N30" s="26"/>
      <c r="P30" s="26"/>
      <c r="Q30" s="26"/>
      <c r="R30" s="26"/>
    </row>
    <row r="31" spans="11:18" ht="21.75">
      <c r="K31" s="26"/>
      <c r="L31" s="26"/>
      <c r="M31" s="26"/>
      <c r="N31" s="26"/>
      <c r="O31" s="26"/>
      <c r="P31" s="26"/>
      <c r="Q31" s="26"/>
      <c r="R31" s="175"/>
    </row>
    <row r="32" spans="11:18" ht="21.75">
      <c r="K32" s="26"/>
      <c r="L32" s="26"/>
      <c r="M32" s="26"/>
      <c r="N32" s="26"/>
      <c r="O32" s="26"/>
      <c r="P32" s="26"/>
      <c r="Q32" s="26"/>
      <c r="R32" s="175"/>
    </row>
    <row r="33" spans="11:17" ht="21.75">
      <c r="K33" s="26"/>
      <c r="L33" s="26"/>
      <c r="M33" s="26"/>
      <c r="N33" s="26"/>
      <c r="O33" s="26"/>
      <c r="P33" s="26"/>
      <c r="Q33" s="26"/>
    </row>
    <row r="34" spans="11:17" ht="21.75">
      <c r="K34" s="26"/>
      <c r="L34" s="26"/>
      <c r="M34" s="26"/>
      <c r="N34" s="26"/>
      <c r="O34" s="26"/>
      <c r="P34" s="26"/>
      <c r="Q34" s="26"/>
    </row>
    <row r="35" spans="11:17" ht="21.75">
      <c r="K35" s="26"/>
      <c r="L35" s="26"/>
      <c r="P35" s="26"/>
      <c r="Q35" s="26"/>
    </row>
    <row r="36" spans="11:17" ht="21.75">
      <c r="K36" s="26"/>
      <c r="L36" s="26"/>
      <c r="P36" s="26"/>
      <c r="Q36" s="26"/>
    </row>
  </sheetData>
  <mergeCells count="10">
    <mergeCell ref="A16:F16"/>
    <mergeCell ref="K24:P24"/>
    <mergeCell ref="K9:R9"/>
    <mergeCell ref="K10:R10"/>
    <mergeCell ref="K11:R11"/>
    <mergeCell ref="M13:N13"/>
    <mergeCell ref="A1:H1"/>
    <mergeCell ref="A2:H2"/>
    <mergeCell ref="A3:H3"/>
    <mergeCell ref="C5:D5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A21" sqref="A21:C21"/>
    </sheetView>
  </sheetViews>
  <sheetFormatPr defaultColWidth="9.140625" defaultRowHeight="21.75"/>
  <cols>
    <col min="1" max="1" width="11.28125" style="1" customWidth="1"/>
    <col min="2" max="2" width="64.7109375" style="1" customWidth="1"/>
    <col min="3" max="3" width="18.8515625" style="1" customWidth="1"/>
    <col min="4" max="16384" width="9.140625" style="1" customWidth="1"/>
  </cols>
  <sheetData>
    <row r="1" spans="1:3" ht="23.25">
      <c r="A1" s="611" t="s">
        <v>803</v>
      </c>
      <c r="B1" s="611"/>
      <c r="C1" s="611"/>
    </row>
    <row r="2" spans="1:3" ht="23.25">
      <c r="A2" s="587" t="s">
        <v>684</v>
      </c>
      <c r="B2" s="587"/>
      <c r="C2" s="587"/>
    </row>
    <row r="3" spans="1:3" ht="23.25">
      <c r="A3" s="587" t="s">
        <v>250</v>
      </c>
      <c r="B3" s="587"/>
      <c r="C3" s="587"/>
    </row>
    <row r="4" spans="1:3" ht="23.25">
      <c r="A4" s="587" t="s">
        <v>682</v>
      </c>
      <c r="B4" s="587"/>
      <c r="C4" s="587"/>
    </row>
    <row r="6" ht="23.25">
      <c r="A6" s="1" t="s">
        <v>78</v>
      </c>
    </row>
    <row r="8" spans="1:3" s="4" customFormat="1" ht="23.25">
      <c r="A8" s="4" t="s">
        <v>57</v>
      </c>
      <c r="B8" s="4" t="s">
        <v>4</v>
      </c>
      <c r="C8" s="4" t="s">
        <v>58</v>
      </c>
    </row>
    <row r="9" spans="1:3" ht="23.25">
      <c r="A9" s="4">
        <v>1</v>
      </c>
      <c r="B9" s="1" t="s">
        <v>237</v>
      </c>
      <c r="C9" s="8">
        <v>1960157</v>
      </c>
    </row>
    <row r="10" spans="1:3" ht="24" thickBot="1">
      <c r="A10" s="4"/>
      <c r="B10" s="34" t="s">
        <v>285</v>
      </c>
      <c r="C10" s="38">
        <f>SUM(C9)</f>
        <v>1960157</v>
      </c>
    </row>
    <row r="11" spans="1:3" ht="24" thickTop="1">
      <c r="A11" s="4"/>
      <c r="C11" s="8"/>
    </row>
    <row r="12" spans="1:3" ht="23.25">
      <c r="A12" s="4"/>
      <c r="C12" s="8"/>
    </row>
    <row r="13" spans="1:3" ht="23.25">
      <c r="A13" s="4"/>
      <c r="C13" s="8"/>
    </row>
    <row r="14" spans="2:3" ht="23.25">
      <c r="B14" s="2"/>
      <c r="C14" s="9"/>
    </row>
    <row r="15" spans="1:3" ht="23.25">
      <c r="A15" s="612"/>
      <c r="B15" s="612"/>
      <c r="C15" s="612"/>
    </row>
    <row r="16" spans="1:3" ht="23.25">
      <c r="A16" s="612"/>
      <c r="B16" s="612"/>
      <c r="C16" s="612"/>
    </row>
    <row r="17" spans="1:3" ht="23.25">
      <c r="A17" s="585"/>
      <c r="B17" s="585"/>
      <c r="C17" s="585"/>
    </row>
    <row r="18" spans="1:3" ht="23.25">
      <c r="A18" s="585"/>
      <c r="B18" s="585"/>
      <c r="C18" s="585"/>
    </row>
    <row r="19" spans="1:3" ht="23.25">
      <c r="A19" s="4"/>
      <c r="B19" s="4"/>
      <c r="C19" s="4"/>
    </row>
    <row r="20" spans="1:3" ht="23.25">
      <c r="A20" s="4"/>
      <c r="B20" s="4"/>
      <c r="C20" s="4"/>
    </row>
    <row r="21" spans="1:3" ht="23.25">
      <c r="A21" s="585"/>
      <c r="B21" s="585"/>
      <c r="C21" s="585"/>
    </row>
    <row r="22" spans="1:4" ht="23.25">
      <c r="A22" s="585"/>
      <c r="B22" s="585"/>
      <c r="C22" s="585"/>
      <c r="D22" s="8"/>
    </row>
    <row r="23" spans="1:4" ht="23.25">
      <c r="A23" s="585"/>
      <c r="B23" s="585"/>
      <c r="C23" s="585"/>
      <c r="D23" s="8"/>
    </row>
    <row r="24" spans="1:4" ht="23.25">
      <c r="A24" s="585"/>
      <c r="B24" s="585"/>
      <c r="C24" s="585"/>
      <c r="D24" s="8"/>
    </row>
    <row r="25" spans="1:4" ht="23.25">
      <c r="A25" s="4"/>
      <c r="B25" s="4"/>
      <c r="C25" s="4"/>
      <c r="D25" s="8"/>
    </row>
    <row r="26" spans="1:4" ht="23.25">
      <c r="A26" s="4"/>
      <c r="B26" s="4"/>
      <c r="C26" s="4"/>
      <c r="D26" s="8"/>
    </row>
    <row r="27" spans="1:3" ht="23.25">
      <c r="A27" s="585"/>
      <c r="B27" s="585"/>
      <c r="C27" s="585"/>
    </row>
    <row r="28" spans="1:3" ht="23.25">
      <c r="A28" s="585"/>
      <c r="B28" s="585"/>
      <c r="C28" s="585"/>
    </row>
    <row r="29" spans="1:3" ht="23.25">
      <c r="A29" s="585"/>
      <c r="B29" s="585"/>
      <c r="C29" s="585"/>
    </row>
  </sheetData>
  <mergeCells count="15">
    <mergeCell ref="A21:C21"/>
    <mergeCell ref="A2:C2"/>
    <mergeCell ref="A3:C3"/>
    <mergeCell ref="A4:C4"/>
    <mergeCell ref="A15:C15"/>
    <mergeCell ref="A1:C1"/>
    <mergeCell ref="A28:C28"/>
    <mergeCell ref="A29:C29"/>
    <mergeCell ref="A22:C22"/>
    <mergeCell ref="A23:C23"/>
    <mergeCell ref="A24:C24"/>
    <mergeCell ref="A27:C27"/>
    <mergeCell ref="A16:C16"/>
    <mergeCell ref="A17:C17"/>
    <mergeCell ref="A18:C18"/>
  </mergeCells>
  <printOptions/>
  <pageMargins left="0.59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2" sqref="B12"/>
    </sheetView>
  </sheetViews>
  <sheetFormatPr defaultColWidth="9.140625" defaultRowHeight="21.75"/>
  <cols>
    <col min="1" max="1" width="14.28125" style="0" customWidth="1"/>
    <col min="2" max="2" width="60.28125" style="0" customWidth="1"/>
    <col min="3" max="3" width="17.8515625" style="0" customWidth="1"/>
    <col min="4" max="4" width="12.00390625" style="0" customWidth="1"/>
  </cols>
  <sheetData>
    <row r="1" spans="1:4" ht="21.75">
      <c r="A1" s="584" t="s">
        <v>684</v>
      </c>
      <c r="B1" s="584"/>
      <c r="C1" s="584"/>
      <c r="D1" s="584"/>
    </row>
    <row r="2" spans="1:4" ht="21.75">
      <c r="A2" s="584" t="s">
        <v>250</v>
      </c>
      <c r="B2" s="584"/>
      <c r="C2" s="584"/>
      <c r="D2" s="584"/>
    </row>
    <row r="3" spans="1:4" ht="21.75">
      <c r="A3" s="584" t="s">
        <v>762</v>
      </c>
      <c r="B3" s="584"/>
      <c r="C3" s="584"/>
      <c r="D3" s="584"/>
    </row>
    <row r="5" spans="1:4" ht="21.75">
      <c r="A5" s="226" t="s">
        <v>612</v>
      </c>
      <c r="B5" s="226" t="s">
        <v>613</v>
      </c>
      <c r="C5" s="226" t="s">
        <v>614</v>
      </c>
      <c r="D5" s="226" t="s">
        <v>595</v>
      </c>
    </row>
    <row r="6" spans="1:4" ht="23.25">
      <c r="A6" s="228" t="s">
        <v>765</v>
      </c>
      <c r="B6" s="229" t="s">
        <v>816</v>
      </c>
      <c r="C6" s="502">
        <v>330240</v>
      </c>
      <c r="D6" s="503"/>
    </row>
    <row r="7" spans="1:4" ht="23.25">
      <c r="A7" s="228" t="s">
        <v>767</v>
      </c>
      <c r="B7" s="229" t="s">
        <v>817</v>
      </c>
      <c r="C7" s="230">
        <v>300340</v>
      </c>
      <c r="D7" s="231"/>
    </row>
    <row r="8" spans="1:4" ht="23.25">
      <c r="A8" s="228" t="s">
        <v>766</v>
      </c>
      <c r="B8" s="229" t="s">
        <v>818</v>
      </c>
      <c r="C8" s="230">
        <v>121477</v>
      </c>
      <c r="D8" s="231"/>
    </row>
    <row r="9" spans="1:4" ht="23.25">
      <c r="A9" s="501" t="s">
        <v>764</v>
      </c>
      <c r="B9" s="5" t="s">
        <v>819</v>
      </c>
      <c r="C9" s="230">
        <v>388230</v>
      </c>
      <c r="D9" s="231"/>
    </row>
    <row r="10" spans="1:4" ht="23.25">
      <c r="A10" s="228" t="s">
        <v>763</v>
      </c>
      <c r="B10" s="229" t="s">
        <v>820</v>
      </c>
      <c r="C10" s="230">
        <v>819870</v>
      </c>
      <c r="D10" s="231"/>
    </row>
    <row r="11" spans="1:4" ht="23.25">
      <c r="A11" s="228"/>
      <c r="B11" s="6"/>
      <c r="C11" s="230"/>
      <c r="D11" s="231"/>
    </row>
    <row r="12" spans="1:4" ht="23.25">
      <c r="A12" s="228"/>
      <c r="B12" s="6"/>
      <c r="C12" s="235"/>
      <c r="D12" s="231"/>
    </row>
    <row r="13" spans="1:4" ht="24" thickBot="1">
      <c r="A13" s="232"/>
      <c r="B13" s="233" t="s">
        <v>602</v>
      </c>
      <c r="C13" s="236">
        <f>SUM(C6:C12)</f>
        <v>1960157</v>
      </c>
      <c r="D13" s="234"/>
    </row>
    <row r="14" ht="22.5" thickTop="1">
      <c r="A14" s="224"/>
    </row>
    <row r="16" ht="21.75">
      <c r="A16" t="s">
        <v>615</v>
      </c>
    </row>
    <row r="17" ht="21.75">
      <c r="A17" t="s">
        <v>798</v>
      </c>
    </row>
    <row r="18" ht="21.75">
      <c r="A18" t="s">
        <v>796</v>
      </c>
    </row>
    <row r="19" ht="21.75">
      <c r="A19" t="s">
        <v>797</v>
      </c>
    </row>
  </sheetData>
  <mergeCells count="3">
    <mergeCell ref="A1:D1"/>
    <mergeCell ref="A2:D2"/>
    <mergeCell ref="A3:D3"/>
  </mergeCells>
  <printOptions/>
  <pageMargins left="0.41" right="0.27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38" sqref="G38"/>
    </sheetView>
  </sheetViews>
  <sheetFormatPr defaultColWidth="9.140625" defaultRowHeight="21.75"/>
  <cols>
    <col min="1" max="1" width="11.28125" style="1" customWidth="1"/>
    <col min="2" max="2" width="64.8515625" style="1" customWidth="1"/>
    <col min="3" max="3" width="18.8515625" style="1" customWidth="1"/>
    <col min="4" max="4" width="9.140625" style="1" customWidth="1"/>
    <col min="5" max="5" width="11.28125" style="1" bestFit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3" ht="23.25">
      <c r="A1" s="611" t="s">
        <v>801</v>
      </c>
      <c r="B1" s="611"/>
      <c r="C1" s="611"/>
    </row>
    <row r="2" spans="1:3" ht="23.25">
      <c r="A2" s="587" t="s">
        <v>684</v>
      </c>
      <c r="B2" s="587"/>
      <c r="C2" s="587"/>
    </row>
    <row r="3" spans="1:3" ht="23.25">
      <c r="A3" s="587" t="s">
        <v>51</v>
      </c>
      <c r="B3" s="587"/>
      <c r="C3" s="587"/>
    </row>
    <row r="4" spans="1:3" ht="23.25">
      <c r="A4" s="587" t="s">
        <v>682</v>
      </c>
      <c r="B4" s="587"/>
      <c r="C4" s="587"/>
    </row>
    <row r="6" ht="23.25">
      <c r="A6" s="1" t="s">
        <v>60</v>
      </c>
    </row>
    <row r="8" spans="1:3" s="4" customFormat="1" ht="23.25">
      <c r="A8" s="4" t="s">
        <v>57</v>
      </c>
      <c r="B8" s="4" t="s">
        <v>4</v>
      </c>
      <c r="C8" s="4" t="s">
        <v>58</v>
      </c>
    </row>
    <row r="9" spans="1:3" s="4" customFormat="1" ht="23.25">
      <c r="A9" s="4">
        <v>1</v>
      </c>
      <c r="B9" s="369" t="s">
        <v>745</v>
      </c>
      <c r="C9" s="500">
        <v>51840</v>
      </c>
    </row>
    <row r="10" spans="1:3" s="4" customFormat="1" ht="23.25">
      <c r="A10" s="4">
        <v>2</v>
      </c>
      <c r="B10" s="369" t="s">
        <v>746</v>
      </c>
      <c r="C10" s="500">
        <v>3510</v>
      </c>
    </row>
    <row r="11" spans="1:3" s="4" customFormat="1" ht="23.25">
      <c r="A11" s="4">
        <v>3</v>
      </c>
      <c r="B11" s="369" t="s">
        <v>747</v>
      </c>
      <c r="C11" s="500">
        <v>187380</v>
      </c>
    </row>
    <row r="12" spans="1:3" s="4" customFormat="1" ht="23.25">
      <c r="A12" s="4">
        <v>4</v>
      </c>
      <c r="B12" s="1" t="s">
        <v>748</v>
      </c>
      <c r="C12" s="500">
        <v>90190</v>
      </c>
    </row>
    <row r="13" spans="1:5" ht="23.25">
      <c r="A13" s="4">
        <v>5</v>
      </c>
      <c r="B13" s="1" t="s">
        <v>749</v>
      </c>
      <c r="C13" s="32">
        <v>98300</v>
      </c>
      <c r="E13" s="27"/>
    </row>
    <row r="14" spans="1:5" ht="23.25">
      <c r="A14" s="4">
        <v>6</v>
      </c>
      <c r="B14" s="1" t="s">
        <v>750</v>
      </c>
      <c r="C14" s="32">
        <v>95900</v>
      </c>
      <c r="E14" s="27"/>
    </row>
    <row r="15" spans="1:5" ht="23.25">
      <c r="A15" s="4">
        <v>7</v>
      </c>
      <c r="B15" s="1" t="s">
        <v>284</v>
      </c>
      <c r="C15" s="32">
        <v>340173.7</v>
      </c>
      <c r="E15" s="27"/>
    </row>
    <row r="16" spans="1:5" ht="23.25">
      <c r="A16" s="39">
        <v>8</v>
      </c>
      <c r="B16" s="40" t="s">
        <v>751</v>
      </c>
      <c r="C16" s="32">
        <v>1227200</v>
      </c>
      <c r="E16" s="27"/>
    </row>
    <row r="17" spans="1:5" ht="23.25">
      <c r="A17" s="39">
        <v>9</v>
      </c>
      <c r="B17" s="40" t="s">
        <v>752</v>
      </c>
      <c r="C17" s="32">
        <v>1153000</v>
      </c>
      <c r="E17" s="27"/>
    </row>
    <row r="18" spans="2:3" ht="25.5">
      <c r="B18" s="2" t="s">
        <v>59</v>
      </c>
      <c r="C18" s="79">
        <f>SUM(C9:C17)</f>
        <v>3247493.7</v>
      </c>
    </row>
    <row r="19" spans="2:3" ht="25.5">
      <c r="B19" s="2"/>
      <c r="C19" s="14"/>
    </row>
    <row r="20" spans="2:3" ht="23.25">
      <c r="B20" s="2"/>
      <c r="C20" s="9"/>
    </row>
    <row r="21" spans="1:3" ht="23.25">
      <c r="A21" s="612"/>
      <c r="B21" s="612"/>
      <c r="C21" s="612"/>
    </row>
    <row r="22" spans="1:3" ht="23.25">
      <c r="A22" s="612"/>
      <c r="B22" s="612"/>
      <c r="C22" s="612"/>
    </row>
    <row r="23" spans="1:3" ht="23.25">
      <c r="A23" s="585"/>
      <c r="B23" s="585"/>
      <c r="C23" s="585"/>
    </row>
    <row r="24" spans="1:3" ht="23.25">
      <c r="A24" s="585"/>
      <c r="B24" s="585"/>
      <c r="C24" s="585"/>
    </row>
    <row r="25" spans="1:3" ht="23.25">
      <c r="A25" s="4"/>
      <c r="B25" s="4"/>
      <c r="C25" s="4"/>
    </row>
    <row r="26" spans="1:3" ht="23.25">
      <c r="A26" s="4"/>
      <c r="B26" s="4"/>
      <c r="C26" s="4"/>
    </row>
    <row r="27" spans="1:3" ht="23.25">
      <c r="A27" s="585"/>
      <c r="B27" s="585"/>
      <c r="C27" s="585"/>
    </row>
    <row r="28" spans="1:3" ht="23.25">
      <c r="A28" s="585"/>
      <c r="B28" s="585"/>
      <c r="C28" s="585"/>
    </row>
    <row r="29" spans="1:4" ht="23.25">
      <c r="A29" s="585"/>
      <c r="B29" s="585"/>
      <c r="C29" s="585"/>
      <c r="D29" s="8"/>
    </row>
    <row r="30" spans="1:4" ht="23.25">
      <c r="A30" s="585"/>
      <c r="B30" s="585"/>
      <c r="C30" s="585"/>
      <c r="D30" s="8"/>
    </row>
    <row r="31" spans="1:4" ht="23.25">
      <c r="A31" s="4"/>
      <c r="B31" s="4"/>
      <c r="C31" s="4"/>
      <c r="D31" s="8"/>
    </row>
    <row r="32" spans="1:4" ht="23.25">
      <c r="A32" s="4"/>
      <c r="B32" s="4"/>
      <c r="C32" s="4"/>
      <c r="D32" s="4"/>
    </row>
    <row r="33" spans="1:4" ht="23.25">
      <c r="A33" s="585"/>
      <c r="B33" s="585"/>
      <c r="C33" s="585"/>
      <c r="D33" s="4"/>
    </row>
    <row r="34" spans="1:3" ht="23.25">
      <c r="A34" s="585"/>
      <c r="B34" s="585"/>
      <c r="C34" s="585"/>
    </row>
    <row r="35" spans="1:3" ht="23.25">
      <c r="A35" s="585"/>
      <c r="B35" s="585"/>
      <c r="C35" s="585"/>
    </row>
    <row r="36" spans="1:3" ht="23.25">
      <c r="A36" s="29"/>
      <c r="B36" s="29"/>
      <c r="C36" s="29"/>
    </row>
    <row r="37" spans="1:3" ht="23.25">
      <c r="A37" s="29"/>
      <c r="B37" s="29"/>
      <c r="C37" s="29"/>
    </row>
    <row r="38" spans="1:3" ht="23.25">
      <c r="A38" s="29"/>
      <c r="B38" s="29"/>
      <c r="C38" s="29"/>
    </row>
  </sheetData>
  <mergeCells count="15">
    <mergeCell ref="A35:C35"/>
    <mergeCell ref="A21:C21"/>
    <mergeCell ref="A24:C24"/>
    <mergeCell ref="A27:C27"/>
    <mergeCell ref="A34:C34"/>
    <mergeCell ref="A29:C29"/>
    <mergeCell ref="A33:C33"/>
    <mergeCell ref="A22:C22"/>
    <mergeCell ref="A28:C28"/>
    <mergeCell ref="A23:C23"/>
    <mergeCell ref="A1:C1"/>
    <mergeCell ref="A30:C30"/>
    <mergeCell ref="A2:C2"/>
    <mergeCell ref="A3:C3"/>
    <mergeCell ref="A4:C4"/>
  </mergeCells>
  <printOptions/>
  <pageMargins left="0.67" right="0.53" top="0.79" bottom="0.62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C34" sqref="C34"/>
    </sheetView>
  </sheetViews>
  <sheetFormatPr defaultColWidth="9.140625" defaultRowHeight="21.75"/>
  <cols>
    <col min="1" max="1" width="72.28125" style="46" customWidth="1"/>
    <col min="2" max="2" width="16.00390625" style="46" customWidth="1"/>
    <col min="3" max="3" width="15.28125" style="46" customWidth="1"/>
    <col min="4" max="4" width="13.28125" style="46" customWidth="1"/>
    <col min="5" max="5" width="13.8515625" style="46" customWidth="1"/>
    <col min="6" max="6" width="14.00390625" style="46" customWidth="1"/>
    <col min="7" max="16384" width="9.140625" style="46" customWidth="1"/>
  </cols>
  <sheetData>
    <row r="1" spans="1:6" ht="23.25">
      <c r="A1" s="613" t="s">
        <v>684</v>
      </c>
      <c r="B1" s="613"/>
      <c r="C1" s="613"/>
      <c r="D1" s="613"/>
      <c r="E1" s="613"/>
      <c r="F1" s="613"/>
    </row>
    <row r="2" spans="1:6" ht="23.25">
      <c r="A2" s="613" t="s">
        <v>802</v>
      </c>
      <c r="B2" s="613"/>
      <c r="C2" s="613"/>
      <c r="D2" s="613"/>
      <c r="E2" s="613"/>
      <c r="F2" s="613"/>
    </row>
    <row r="3" spans="1:6" ht="23.25">
      <c r="A3" s="613" t="s">
        <v>795</v>
      </c>
      <c r="B3" s="613"/>
      <c r="C3" s="613"/>
      <c r="D3" s="613"/>
      <c r="E3" s="613"/>
      <c r="F3" s="613"/>
    </row>
    <row r="4" spans="1:6" ht="23.25">
      <c r="A4" s="614" t="s">
        <v>613</v>
      </c>
      <c r="B4" s="615" t="s">
        <v>278</v>
      </c>
      <c r="C4" s="615"/>
      <c r="D4" s="614" t="s">
        <v>639</v>
      </c>
      <c r="E4" s="614" t="s">
        <v>640</v>
      </c>
      <c r="F4" s="614" t="s">
        <v>641</v>
      </c>
    </row>
    <row r="5" spans="1:6" ht="23.25">
      <c r="A5" s="614"/>
      <c r="B5" s="334" t="s">
        <v>642</v>
      </c>
      <c r="C5" s="334" t="s">
        <v>643</v>
      </c>
      <c r="D5" s="614"/>
      <c r="E5" s="614"/>
      <c r="F5" s="614"/>
    </row>
    <row r="6" spans="1:6" ht="23.25">
      <c r="A6" s="335" t="s">
        <v>683</v>
      </c>
      <c r="B6" s="336"/>
      <c r="C6" s="336"/>
      <c r="D6" s="336"/>
      <c r="E6" s="336"/>
      <c r="F6" s="336"/>
    </row>
    <row r="7" spans="1:6" ht="23.25">
      <c r="A7" s="337" t="s">
        <v>753</v>
      </c>
      <c r="B7" s="338">
        <v>51840</v>
      </c>
      <c r="C7" s="338"/>
      <c r="D7" s="338"/>
      <c r="E7" s="338">
        <f>B7</f>
        <v>51840</v>
      </c>
      <c r="F7" s="337"/>
    </row>
    <row r="8" spans="1:6" ht="23.25">
      <c r="A8" s="337" t="s">
        <v>754</v>
      </c>
      <c r="B8" s="338">
        <v>3510</v>
      </c>
      <c r="C8" s="338"/>
      <c r="D8" s="338"/>
      <c r="E8" s="338">
        <f>B8</f>
        <v>3510</v>
      </c>
      <c r="F8" s="337"/>
    </row>
    <row r="9" spans="1:6" ht="23.25">
      <c r="A9" s="339" t="s">
        <v>755</v>
      </c>
      <c r="B9" s="338"/>
      <c r="C9" s="338"/>
      <c r="D9" s="338"/>
      <c r="E9" s="338"/>
      <c r="F9" s="337"/>
    </row>
    <row r="10" spans="1:6" ht="23.25">
      <c r="A10" s="337" t="s">
        <v>756</v>
      </c>
      <c r="B10" s="338">
        <v>187380</v>
      </c>
      <c r="C10" s="338"/>
      <c r="D10" s="338"/>
      <c r="E10" s="338">
        <f>B10</f>
        <v>187380</v>
      </c>
      <c r="F10" s="337"/>
    </row>
    <row r="11" spans="1:6" ht="23.25">
      <c r="A11" s="339" t="s">
        <v>644</v>
      </c>
      <c r="B11" s="338"/>
      <c r="C11" s="338"/>
      <c r="D11" s="338"/>
      <c r="E11" s="338"/>
      <c r="F11" s="337"/>
    </row>
    <row r="12" spans="1:6" ht="23.25">
      <c r="A12" s="337" t="s">
        <v>757</v>
      </c>
      <c r="B12" s="338">
        <v>90190</v>
      </c>
      <c r="C12" s="338"/>
      <c r="D12" s="338"/>
      <c r="E12" s="338">
        <f aca="true" t="shared" si="0" ref="E12:E17">B12</f>
        <v>90190</v>
      </c>
      <c r="F12" s="338"/>
    </row>
    <row r="13" spans="1:6" ht="23.25">
      <c r="A13" s="337" t="s">
        <v>758</v>
      </c>
      <c r="B13" s="338">
        <v>98300</v>
      </c>
      <c r="C13" s="338"/>
      <c r="D13" s="338"/>
      <c r="E13" s="338">
        <f t="shared" si="0"/>
        <v>98300</v>
      </c>
      <c r="F13" s="338"/>
    </row>
    <row r="14" spans="1:6" ht="23.25">
      <c r="A14" s="337" t="s">
        <v>759</v>
      </c>
      <c r="B14" s="338">
        <v>95900</v>
      </c>
      <c r="C14" s="338"/>
      <c r="D14" s="338"/>
      <c r="E14" s="338">
        <f t="shared" si="0"/>
        <v>95900</v>
      </c>
      <c r="F14" s="338"/>
    </row>
    <row r="15" spans="1:6" ht="23.25">
      <c r="A15" s="339" t="s">
        <v>645</v>
      </c>
      <c r="B15" s="338"/>
      <c r="C15" s="338"/>
      <c r="D15" s="338"/>
      <c r="E15" s="338">
        <f t="shared" si="0"/>
        <v>0</v>
      </c>
      <c r="F15" s="338"/>
    </row>
    <row r="16" spans="1:6" ht="23.25">
      <c r="A16" s="337" t="s">
        <v>646</v>
      </c>
      <c r="B16" s="338">
        <v>340173.7</v>
      </c>
      <c r="C16" s="338"/>
      <c r="D16" s="338"/>
      <c r="E16" s="338">
        <f t="shared" si="0"/>
        <v>340173.7</v>
      </c>
      <c r="F16" s="338"/>
    </row>
    <row r="17" spans="1:6" ht="23.25">
      <c r="A17" s="339" t="s">
        <v>647</v>
      </c>
      <c r="B17" s="338"/>
      <c r="C17" s="338"/>
      <c r="D17" s="338"/>
      <c r="E17" s="338">
        <f t="shared" si="0"/>
        <v>0</v>
      </c>
      <c r="F17" s="338"/>
    </row>
    <row r="18" spans="1:6" ht="23.25">
      <c r="A18" s="340" t="s">
        <v>760</v>
      </c>
      <c r="B18" s="338"/>
      <c r="C18" s="338">
        <v>1227200</v>
      </c>
      <c r="D18" s="338"/>
      <c r="E18" s="338">
        <f>C18</f>
        <v>1227200</v>
      </c>
      <c r="F18" s="338"/>
    </row>
    <row r="19" spans="1:6" ht="23.25">
      <c r="A19" s="340" t="s">
        <v>761</v>
      </c>
      <c r="B19" s="338"/>
      <c r="C19" s="338">
        <v>1153000</v>
      </c>
      <c r="D19" s="338"/>
      <c r="E19" s="338">
        <f>C19</f>
        <v>1153000</v>
      </c>
      <c r="F19" s="338"/>
    </row>
    <row r="20" spans="1:6" ht="23.25">
      <c r="A20" s="334" t="s">
        <v>602</v>
      </c>
      <c r="B20" s="341">
        <f>SUM(B6:B19)</f>
        <v>867293.7</v>
      </c>
      <c r="C20" s="341">
        <f>SUM(C6:C19)</f>
        <v>2380200</v>
      </c>
      <c r="D20" s="341">
        <f>SUM(D6:D19)</f>
        <v>0</v>
      </c>
      <c r="E20" s="341">
        <f>SUM(E6:E19)</f>
        <v>3247493.7</v>
      </c>
      <c r="F20" s="342"/>
    </row>
    <row r="21" spans="2:3" ht="23.25">
      <c r="B21" s="343"/>
      <c r="C21" s="343"/>
    </row>
  </sheetData>
  <mergeCells count="8">
    <mergeCell ref="A1:F1"/>
    <mergeCell ref="A2:F2"/>
    <mergeCell ref="A3:F3"/>
    <mergeCell ref="A4:A5"/>
    <mergeCell ref="B4:C4"/>
    <mergeCell ref="D4:D5"/>
    <mergeCell ref="E4:E5"/>
    <mergeCell ref="F4:F5"/>
  </mergeCells>
  <printOptions/>
  <pageMargins left="0.75" right="0.35" top="0.25" bottom="0.19" header="0.21" footer="0.1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CasperX</cp:lastModifiedBy>
  <cp:lastPrinted>2012-08-06T08:52:26Z</cp:lastPrinted>
  <dcterms:created xsi:type="dcterms:W3CDTF">2004-11-04T11:07:14Z</dcterms:created>
  <dcterms:modified xsi:type="dcterms:W3CDTF">2013-02-12T09:01:21Z</dcterms:modified>
  <cp:category/>
  <cp:version/>
  <cp:contentType/>
  <cp:contentStatus/>
</cp:coreProperties>
</file>